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709"/>
  <workbookPr/>
  <mc:AlternateContent xmlns:mc="http://schemas.openxmlformats.org/markup-compatibility/2006">
    <mc:Choice Requires="x15">
      <x15ac:absPath xmlns:x15ac="http://schemas.microsoft.com/office/spreadsheetml/2010/11/ac" url="/Users/thiagosouza/Documents/capacitação/Pessoais/U Florida/Dissertation/Bibliography/Thesis/Economic Evaluation/PA Economic Impacts/Africa/South Africa/"/>
    </mc:Choice>
  </mc:AlternateContent>
  <bookViews>
    <workbookView xWindow="0" yWindow="460" windowWidth="25600" windowHeight="15460" activeTab="3"/>
  </bookViews>
  <sheets>
    <sheet name="Welcome" sheetId="6" r:id="rId1"/>
    <sheet name="MAIN" sheetId="1" r:id="rId2"/>
    <sheet name="GRAPHS" sheetId="2" r:id="rId3"/>
    <sheet name="SUMMARY" sheetId="3" r:id="rId4"/>
    <sheet name="MULTIPLIERS" sheetId="4" state="hidden" r:id="rId5"/>
  </sheets>
  <externalReferences>
    <externalReference r:id="rId6"/>
    <externalReference r:id="rId7"/>
  </externalReferences>
  <definedNames>
    <definedName name="_Parse_Out" hidden="1">#REF!</definedName>
    <definedName name="Country">MULTIPLIERS!$M$1:$M$4</definedName>
    <definedName name="Country_Reference">MULTIPLIERS!$M$2:$M$4</definedName>
    <definedName name="CUSTOM">#REF!</definedName>
    <definedName name="DEFL">[1]WORK!$F$15:$S$26</definedName>
    <definedName name="IMPLANPG">#REF!,#REF!</definedName>
    <definedName name="Mult">#REF!</definedName>
    <definedName name="PPI">[1]WORK!$P$31:$V$53</definedName>
    <definedName name="VISITDATA" localSheetId="0">[2]VISITS!$E$3,[2]VISITS!$C$8:$C$19</definedName>
    <definedName name="VISITDATA">[1]VISITS!$E$3,[1]VISITS!$C$8:$C$19</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R21" i="4" l="1"/>
  <c r="O1" i="4"/>
  <c r="Q64" i="4"/>
  <c r="Q49" i="4"/>
  <c r="Q34" i="4"/>
  <c r="Q19" i="4"/>
  <c r="Q4" i="4"/>
  <c r="B4" i="4"/>
  <c r="B49" i="4"/>
  <c r="B64" i="4"/>
  <c r="C61" i="1"/>
  <c r="C4" i="4"/>
  <c r="C49" i="4"/>
  <c r="C64" i="4"/>
  <c r="D61" i="1"/>
  <c r="D4" i="4"/>
  <c r="D49" i="4"/>
  <c r="D64" i="4"/>
  <c r="E61" i="1"/>
  <c r="E4" i="4"/>
  <c r="E49" i="4"/>
  <c r="E64" i="4"/>
  <c r="F61" i="1"/>
  <c r="U64" i="4"/>
  <c r="U49" i="4"/>
  <c r="U34" i="4"/>
  <c r="U19" i="4"/>
  <c r="U4" i="4"/>
  <c r="F4" i="4"/>
  <c r="F49" i="4"/>
  <c r="F64" i="4"/>
  <c r="G61" i="1"/>
  <c r="G4" i="4"/>
  <c r="G49" i="4"/>
  <c r="G64" i="4"/>
  <c r="H61" i="1"/>
  <c r="H4" i="4"/>
  <c r="H49" i="4"/>
  <c r="H64" i="4"/>
  <c r="I61" i="1"/>
  <c r="I4" i="4"/>
  <c r="I49" i="4"/>
  <c r="I64" i="4"/>
  <c r="J61" i="1"/>
  <c r="K61" i="1"/>
  <c r="Q65" i="4"/>
  <c r="Q50" i="4"/>
  <c r="Q35" i="4"/>
  <c r="Q20" i="4"/>
  <c r="Q5" i="4"/>
  <c r="B5" i="4"/>
  <c r="B50" i="4"/>
  <c r="B65" i="4"/>
  <c r="C62" i="1"/>
  <c r="C5" i="4"/>
  <c r="C50" i="4"/>
  <c r="C65" i="4"/>
  <c r="D62" i="1"/>
  <c r="D5" i="4"/>
  <c r="D50" i="4"/>
  <c r="D65" i="4"/>
  <c r="E62" i="1"/>
  <c r="E5" i="4"/>
  <c r="E50" i="4"/>
  <c r="E65" i="4"/>
  <c r="F62" i="1"/>
  <c r="U65" i="4"/>
  <c r="U50" i="4"/>
  <c r="U35" i="4"/>
  <c r="U20" i="4"/>
  <c r="U5" i="4"/>
  <c r="F5" i="4"/>
  <c r="F50" i="4"/>
  <c r="F65" i="4"/>
  <c r="G62" i="1"/>
  <c r="G5" i="4"/>
  <c r="G50" i="4"/>
  <c r="G65" i="4"/>
  <c r="H62" i="1"/>
  <c r="H5" i="4"/>
  <c r="H50" i="4"/>
  <c r="H65" i="4"/>
  <c r="I62" i="1"/>
  <c r="I5" i="4"/>
  <c r="I50" i="4"/>
  <c r="I65" i="4"/>
  <c r="J62" i="1"/>
  <c r="K62" i="1"/>
  <c r="Q66" i="4"/>
  <c r="Q51" i="4"/>
  <c r="Q36" i="4"/>
  <c r="Q21" i="4"/>
  <c r="Q6" i="4"/>
  <c r="B6" i="4"/>
  <c r="B51" i="4"/>
  <c r="B66" i="4"/>
  <c r="C63" i="1"/>
  <c r="C6" i="4"/>
  <c r="C51" i="4"/>
  <c r="C66" i="4"/>
  <c r="D63" i="1"/>
  <c r="D6" i="4"/>
  <c r="D51" i="4"/>
  <c r="D66" i="4"/>
  <c r="E63" i="1"/>
  <c r="E6" i="4"/>
  <c r="E51" i="4"/>
  <c r="E66" i="4"/>
  <c r="F63" i="1"/>
  <c r="U66" i="4"/>
  <c r="U51" i="4"/>
  <c r="U36" i="4"/>
  <c r="U21" i="4"/>
  <c r="U6" i="4"/>
  <c r="F6" i="4"/>
  <c r="F51" i="4"/>
  <c r="F66" i="4"/>
  <c r="G63" i="1"/>
  <c r="G6" i="4"/>
  <c r="G51" i="4"/>
  <c r="G66" i="4"/>
  <c r="H63" i="1"/>
  <c r="H6" i="4"/>
  <c r="H51" i="4"/>
  <c r="H66" i="4"/>
  <c r="I63" i="1"/>
  <c r="I6" i="4"/>
  <c r="I51" i="4"/>
  <c r="I66" i="4"/>
  <c r="J63" i="1"/>
  <c r="K63" i="1"/>
  <c r="Q67" i="4"/>
  <c r="Q52" i="4"/>
  <c r="Q37" i="4"/>
  <c r="Q22" i="4"/>
  <c r="Q7" i="4"/>
  <c r="B7" i="4"/>
  <c r="B52" i="4"/>
  <c r="B67" i="4"/>
  <c r="C64" i="1"/>
  <c r="C7" i="4"/>
  <c r="C52" i="4"/>
  <c r="C67" i="4"/>
  <c r="D64" i="1"/>
  <c r="D7" i="4"/>
  <c r="D52" i="4"/>
  <c r="D67" i="4"/>
  <c r="E64" i="1"/>
  <c r="E7" i="4"/>
  <c r="E52" i="4"/>
  <c r="E67" i="4"/>
  <c r="F64" i="1"/>
  <c r="U67" i="4"/>
  <c r="U52" i="4"/>
  <c r="U37" i="4"/>
  <c r="U22" i="4"/>
  <c r="U7" i="4"/>
  <c r="F7" i="4"/>
  <c r="F52" i="4"/>
  <c r="F67" i="4"/>
  <c r="G64" i="1"/>
  <c r="G7" i="4"/>
  <c r="G52" i="4"/>
  <c r="G67" i="4"/>
  <c r="H64" i="1"/>
  <c r="H7" i="4"/>
  <c r="H52" i="4"/>
  <c r="H67" i="4"/>
  <c r="I64" i="1"/>
  <c r="I7" i="4"/>
  <c r="I52" i="4"/>
  <c r="I67" i="4"/>
  <c r="J64" i="1"/>
  <c r="K64" i="1"/>
  <c r="Q68" i="4"/>
  <c r="Q53" i="4"/>
  <c r="Q38" i="4"/>
  <c r="Q23" i="4"/>
  <c r="Q8" i="4"/>
  <c r="B8" i="4"/>
  <c r="B53" i="4"/>
  <c r="B68" i="4"/>
  <c r="C65" i="1"/>
  <c r="C8" i="4"/>
  <c r="C53" i="4"/>
  <c r="C68" i="4"/>
  <c r="D65" i="1"/>
  <c r="D8" i="4"/>
  <c r="D53" i="4"/>
  <c r="D68" i="4"/>
  <c r="E65" i="1"/>
  <c r="E8" i="4"/>
  <c r="E53" i="4"/>
  <c r="E68" i="4"/>
  <c r="F65" i="1"/>
  <c r="U68" i="4"/>
  <c r="U53" i="4"/>
  <c r="U38" i="4"/>
  <c r="U23" i="4"/>
  <c r="U8" i="4"/>
  <c r="F8" i="4"/>
  <c r="F53" i="4"/>
  <c r="F68" i="4"/>
  <c r="G65" i="1"/>
  <c r="G8" i="4"/>
  <c r="G53" i="4"/>
  <c r="G68" i="4"/>
  <c r="H65" i="1"/>
  <c r="H8" i="4"/>
  <c r="H53" i="4"/>
  <c r="H68" i="4"/>
  <c r="I65" i="1"/>
  <c r="I8" i="4"/>
  <c r="I53" i="4"/>
  <c r="I68" i="4"/>
  <c r="J65" i="1"/>
  <c r="K65" i="1"/>
  <c r="Q69" i="4"/>
  <c r="Q54" i="4"/>
  <c r="Q39" i="4"/>
  <c r="Q24" i="4"/>
  <c r="Q9" i="4"/>
  <c r="B9" i="4"/>
  <c r="B54" i="4"/>
  <c r="B69" i="4"/>
  <c r="C66" i="1"/>
  <c r="C9" i="4"/>
  <c r="C54" i="4"/>
  <c r="C69" i="4"/>
  <c r="D66" i="1"/>
  <c r="D9" i="4"/>
  <c r="D54" i="4"/>
  <c r="D69" i="4"/>
  <c r="E66" i="1"/>
  <c r="E9" i="4"/>
  <c r="E54" i="4"/>
  <c r="E69" i="4"/>
  <c r="F66" i="1"/>
  <c r="U69" i="4"/>
  <c r="U54" i="4"/>
  <c r="U39" i="4"/>
  <c r="U24" i="4"/>
  <c r="U9" i="4"/>
  <c r="F9" i="4"/>
  <c r="F54" i="4"/>
  <c r="F69" i="4"/>
  <c r="G66" i="1"/>
  <c r="G9" i="4"/>
  <c r="G54" i="4"/>
  <c r="G69" i="4"/>
  <c r="H66" i="1"/>
  <c r="H9" i="4"/>
  <c r="H54" i="4"/>
  <c r="H69" i="4"/>
  <c r="I66" i="1"/>
  <c r="I9" i="4"/>
  <c r="I54" i="4"/>
  <c r="I69" i="4"/>
  <c r="J66" i="1"/>
  <c r="K66" i="1"/>
  <c r="Q70" i="4"/>
  <c r="Q55" i="4"/>
  <c r="Q40" i="4"/>
  <c r="Q25" i="4"/>
  <c r="Q10" i="4"/>
  <c r="B10" i="4"/>
  <c r="B55" i="4"/>
  <c r="B70" i="4"/>
  <c r="C67" i="1"/>
  <c r="C10" i="4"/>
  <c r="C55" i="4"/>
  <c r="C70" i="4"/>
  <c r="D67" i="1"/>
  <c r="D10" i="4"/>
  <c r="D55" i="4"/>
  <c r="D70" i="4"/>
  <c r="E67" i="1"/>
  <c r="E10" i="4"/>
  <c r="E55" i="4"/>
  <c r="E70" i="4"/>
  <c r="F67" i="1"/>
  <c r="U70" i="4"/>
  <c r="U55" i="4"/>
  <c r="U40" i="4"/>
  <c r="U25" i="4"/>
  <c r="U10" i="4"/>
  <c r="F10" i="4"/>
  <c r="F55" i="4"/>
  <c r="F70" i="4"/>
  <c r="G67" i="1"/>
  <c r="G10" i="4"/>
  <c r="G55" i="4"/>
  <c r="G70" i="4"/>
  <c r="H67" i="1"/>
  <c r="H10" i="4"/>
  <c r="H55" i="4"/>
  <c r="H70" i="4"/>
  <c r="I67" i="1"/>
  <c r="I10" i="4"/>
  <c r="I55" i="4"/>
  <c r="I70" i="4"/>
  <c r="J67" i="1"/>
  <c r="K67" i="1"/>
  <c r="Q71" i="4"/>
  <c r="Q56" i="4"/>
  <c r="Q41" i="4"/>
  <c r="Q26" i="4"/>
  <c r="Q11" i="4"/>
  <c r="B11" i="4"/>
  <c r="B56" i="4"/>
  <c r="B71" i="4"/>
  <c r="C68" i="1"/>
  <c r="C11" i="4"/>
  <c r="C56" i="4"/>
  <c r="C71" i="4"/>
  <c r="D68" i="1"/>
  <c r="D11" i="4"/>
  <c r="D56" i="4"/>
  <c r="D71" i="4"/>
  <c r="E68" i="1"/>
  <c r="E11" i="4"/>
  <c r="E56" i="4"/>
  <c r="E71" i="4"/>
  <c r="F68" i="1"/>
  <c r="U71" i="4"/>
  <c r="U56" i="4"/>
  <c r="U41" i="4"/>
  <c r="U26" i="4"/>
  <c r="U11" i="4"/>
  <c r="F11" i="4"/>
  <c r="F56" i="4"/>
  <c r="F71" i="4"/>
  <c r="G68" i="1"/>
  <c r="G11" i="4"/>
  <c r="G56" i="4"/>
  <c r="G71" i="4"/>
  <c r="H68" i="1"/>
  <c r="H11" i="4"/>
  <c r="H56" i="4"/>
  <c r="H71" i="4"/>
  <c r="I68" i="1"/>
  <c r="I11" i="4"/>
  <c r="I56" i="4"/>
  <c r="I71" i="4"/>
  <c r="J68" i="1"/>
  <c r="K68" i="1"/>
  <c r="Q72" i="4"/>
  <c r="Q57" i="4"/>
  <c r="Q42" i="4"/>
  <c r="Q27" i="4"/>
  <c r="Q12" i="4"/>
  <c r="B12" i="4"/>
  <c r="B57" i="4"/>
  <c r="B72" i="4"/>
  <c r="C69" i="1"/>
  <c r="C12" i="4"/>
  <c r="C57" i="4"/>
  <c r="C72" i="4"/>
  <c r="D69" i="1"/>
  <c r="D12" i="4"/>
  <c r="D57" i="4"/>
  <c r="D72" i="4"/>
  <c r="E69" i="1"/>
  <c r="E12" i="4"/>
  <c r="E57" i="4"/>
  <c r="E72" i="4"/>
  <c r="F69" i="1"/>
  <c r="U72" i="4"/>
  <c r="U57" i="4"/>
  <c r="U42" i="4"/>
  <c r="U27" i="4"/>
  <c r="U12" i="4"/>
  <c r="F12" i="4"/>
  <c r="F57" i="4"/>
  <c r="F72" i="4"/>
  <c r="G69" i="1"/>
  <c r="G12" i="4"/>
  <c r="G57" i="4"/>
  <c r="G72" i="4"/>
  <c r="H69" i="1"/>
  <c r="H12" i="4"/>
  <c r="H57" i="4"/>
  <c r="H72" i="4"/>
  <c r="I69" i="1"/>
  <c r="I12" i="4"/>
  <c r="I57" i="4"/>
  <c r="I72" i="4"/>
  <c r="J69" i="1"/>
  <c r="K69" i="1"/>
  <c r="Q73" i="4"/>
  <c r="Q58" i="4"/>
  <c r="Q43" i="4"/>
  <c r="Q28" i="4"/>
  <c r="Q13" i="4"/>
  <c r="B13" i="4"/>
  <c r="B58" i="4"/>
  <c r="B73" i="4"/>
  <c r="C70" i="1"/>
  <c r="C13" i="4"/>
  <c r="C58" i="4"/>
  <c r="C73" i="4"/>
  <c r="D70" i="1"/>
  <c r="D13" i="4"/>
  <c r="D58" i="4"/>
  <c r="D73" i="4"/>
  <c r="E70" i="1"/>
  <c r="E13" i="4"/>
  <c r="E58" i="4"/>
  <c r="E73" i="4"/>
  <c r="F70" i="1"/>
  <c r="U73" i="4"/>
  <c r="U58" i="4"/>
  <c r="U43" i="4"/>
  <c r="U28" i="4"/>
  <c r="U13" i="4"/>
  <c r="F13" i="4"/>
  <c r="F58" i="4"/>
  <c r="F73" i="4"/>
  <c r="G70" i="1"/>
  <c r="G13" i="4"/>
  <c r="G58" i="4"/>
  <c r="G73" i="4"/>
  <c r="H70" i="1"/>
  <c r="H13" i="4"/>
  <c r="H58" i="4"/>
  <c r="H73" i="4"/>
  <c r="I70" i="1"/>
  <c r="I13" i="4"/>
  <c r="I58" i="4"/>
  <c r="I73" i="4"/>
  <c r="J70" i="1"/>
  <c r="K70" i="1"/>
  <c r="Q74" i="4"/>
  <c r="Q59" i="4"/>
  <c r="Q44" i="4"/>
  <c r="Q29" i="4"/>
  <c r="Q14" i="4"/>
  <c r="B14" i="4"/>
  <c r="B59" i="4"/>
  <c r="B74" i="4"/>
  <c r="C71" i="1"/>
  <c r="C14" i="4"/>
  <c r="C59" i="4"/>
  <c r="C74" i="4"/>
  <c r="D71" i="1"/>
  <c r="D14" i="4"/>
  <c r="D59" i="4"/>
  <c r="D74" i="4"/>
  <c r="E71" i="1"/>
  <c r="E14" i="4"/>
  <c r="E59" i="4"/>
  <c r="E74" i="4"/>
  <c r="F71" i="1"/>
  <c r="U74" i="4"/>
  <c r="U59" i="4"/>
  <c r="U44" i="4"/>
  <c r="U29" i="4"/>
  <c r="U14" i="4"/>
  <c r="F14" i="4"/>
  <c r="F59" i="4"/>
  <c r="F74" i="4"/>
  <c r="G71" i="1"/>
  <c r="G14" i="4"/>
  <c r="G59" i="4"/>
  <c r="G74" i="4"/>
  <c r="H71" i="1"/>
  <c r="H14" i="4"/>
  <c r="H59" i="4"/>
  <c r="H74" i="4"/>
  <c r="I71" i="1"/>
  <c r="I14" i="4"/>
  <c r="I59" i="4"/>
  <c r="I74" i="4"/>
  <c r="J71" i="1"/>
  <c r="K71" i="1"/>
  <c r="C3" i="4"/>
  <c r="C48" i="4"/>
  <c r="C63" i="4"/>
  <c r="D60" i="1"/>
  <c r="D3" i="4"/>
  <c r="D48" i="4"/>
  <c r="D63" i="4"/>
  <c r="E60" i="1"/>
  <c r="E3" i="4"/>
  <c r="E48" i="4"/>
  <c r="E63" i="4"/>
  <c r="F60" i="1"/>
  <c r="F3" i="4"/>
  <c r="F48" i="4"/>
  <c r="F63" i="4"/>
  <c r="G60" i="1"/>
  <c r="G3" i="4"/>
  <c r="G48" i="4"/>
  <c r="G63" i="4"/>
  <c r="H60" i="1"/>
  <c r="H3" i="4"/>
  <c r="H48" i="4"/>
  <c r="H63" i="4"/>
  <c r="I60" i="1"/>
  <c r="I3" i="4"/>
  <c r="I48" i="4"/>
  <c r="I63" i="4"/>
  <c r="J60" i="1"/>
  <c r="K60" i="1"/>
  <c r="B3" i="4"/>
  <c r="B48" i="4"/>
  <c r="B63" i="4"/>
  <c r="C60" i="1"/>
  <c r="F77" i="1"/>
  <c r="C39" i="1"/>
  <c r="D39" i="1"/>
  <c r="E39" i="1"/>
  <c r="F39" i="1"/>
  <c r="G39" i="1"/>
  <c r="H39" i="1"/>
  <c r="O39" i="1"/>
  <c r="C77" i="1"/>
  <c r="I77" i="1"/>
  <c r="F99" i="1"/>
  <c r="F78" i="1"/>
  <c r="C40" i="1"/>
  <c r="D40" i="1"/>
  <c r="E40" i="1"/>
  <c r="F40" i="1"/>
  <c r="G40" i="1"/>
  <c r="H40" i="1"/>
  <c r="O40" i="1"/>
  <c r="C78" i="1"/>
  <c r="I78" i="1"/>
  <c r="F100" i="1"/>
  <c r="F79" i="1"/>
  <c r="C41" i="1"/>
  <c r="D41" i="1"/>
  <c r="E41" i="1"/>
  <c r="F41" i="1"/>
  <c r="G41" i="1"/>
  <c r="H41" i="1"/>
  <c r="O41" i="1"/>
  <c r="C79" i="1"/>
  <c r="I79" i="1"/>
  <c r="F101" i="1"/>
  <c r="F80" i="1"/>
  <c r="C42" i="1"/>
  <c r="D42" i="1"/>
  <c r="E42" i="1"/>
  <c r="F42" i="1"/>
  <c r="G42" i="1"/>
  <c r="H42" i="1"/>
  <c r="O42" i="1"/>
  <c r="C80" i="1"/>
  <c r="I80" i="1"/>
  <c r="F102" i="1"/>
  <c r="F81" i="1"/>
  <c r="C43" i="1"/>
  <c r="D43" i="1"/>
  <c r="E43" i="1"/>
  <c r="F43" i="1"/>
  <c r="G43" i="1"/>
  <c r="H43" i="1"/>
  <c r="O43" i="1"/>
  <c r="C81" i="1"/>
  <c r="I81" i="1"/>
  <c r="F103" i="1"/>
  <c r="F82" i="1"/>
  <c r="C44" i="1"/>
  <c r="D44" i="1"/>
  <c r="E44" i="1"/>
  <c r="F44" i="1"/>
  <c r="G44" i="1"/>
  <c r="H44" i="1"/>
  <c r="O44" i="1"/>
  <c r="C82" i="1"/>
  <c r="I82" i="1"/>
  <c r="F104" i="1"/>
  <c r="F83" i="1"/>
  <c r="C45" i="1"/>
  <c r="D45" i="1"/>
  <c r="E45" i="1"/>
  <c r="F45" i="1"/>
  <c r="G45" i="1"/>
  <c r="H45" i="1"/>
  <c r="O45" i="1"/>
  <c r="C83" i="1"/>
  <c r="I83" i="1"/>
  <c r="F105" i="1"/>
  <c r="F84" i="1"/>
  <c r="C46" i="1"/>
  <c r="D46" i="1"/>
  <c r="E46" i="1"/>
  <c r="F46" i="1"/>
  <c r="G46" i="1"/>
  <c r="H46" i="1"/>
  <c r="O46" i="1"/>
  <c r="C84" i="1"/>
  <c r="I84" i="1"/>
  <c r="F106" i="1"/>
  <c r="C47" i="1"/>
  <c r="D47" i="1"/>
  <c r="E47" i="1"/>
  <c r="F47" i="1"/>
  <c r="G47" i="1"/>
  <c r="H47" i="1"/>
  <c r="O47" i="1"/>
  <c r="C85" i="1"/>
  <c r="I85" i="1"/>
  <c r="F107" i="1"/>
  <c r="F86" i="1"/>
  <c r="C48" i="1"/>
  <c r="D48" i="1"/>
  <c r="E48" i="1"/>
  <c r="F48" i="1"/>
  <c r="G48" i="1"/>
  <c r="H48" i="1"/>
  <c r="O48" i="1"/>
  <c r="C86" i="1"/>
  <c r="I86" i="1"/>
  <c r="F108" i="1"/>
  <c r="F87" i="1"/>
  <c r="C49" i="1"/>
  <c r="D49" i="1"/>
  <c r="E49" i="1"/>
  <c r="F49" i="1"/>
  <c r="G49" i="1"/>
  <c r="H49" i="1"/>
  <c r="O49" i="1"/>
  <c r="C87" i="1"/>
  <c r="I87" i="1"/>
  <c r="F109" i="1"/>
  <c r="F88" i="1"/>
  <c r="C50" i="1"/>
  <c r="D50" i="1"/>
  <c r="E50" i="1"/>
  <c r="F50" i="1"/>
  <c r="G50" i="1"/>
  <c r="H50" i="1"/>
  <c r="O50" i="1"/>
  <c r="C88" i="1"/>
  <c r="I88" i="1"/>
  <c r="F110" i="1"/>
  <c r="C51" i="1"/>
  <c r="D51" i="1"/>
  <c r="E51" i="1"/>
  <c r="F51" i="1"/>
  <c r="G51" i="1"/>
  <c r="H51" i="1"/>
  <c r="O51" i="1"/>
  <c r="C89" i="1"/>
  <c r="I89" i="1"/>
  <c r="F111" i="1"/>
  <c r="F90" i="1"/>
  <c r="C52" i="1"/>
  <c r="D52" i="1"/>
  <c r="E52" i="1"/>
  <c r="F52" i="1"/>
  <c r="G52" i="1"/>
  <c r="H52" i="1"/>
  <c r="O52" i="1"/>
  <c r="C90" i="1"/>
  <c r="I90" i="1"/>
  <c r="F92" i="1"/>
  <c r="H77" i="1"/>
  <c r="H78" i="1"/>
  <c r="H79" i="1"/>
  <c r="H80" i="1"/>
  <c r="H81" i="1"/>
  <c r="H82" i="1"/>
  <c r="H83" i="1"/>
  <c r="H84" i="1"/>
  <c r="H85" i="1"/>
  <c r="H86" i="1"/>
  <c r="H93" i="1"/>
  <c r="I92" i="1"/>
  <c r="G77" i="1"/>
  <c r="G78" i="1"/>
  <c r="G79" i="1"/>
  <c r="G80" i="1"/>
  <c r="G81" i="1"/>
  <c r="G82" i="1"/>
  <c r="G83" i="1"/>
  <c r="G84" i="1"/>
  <c r="G85" i="1"/>
  <c r="G86" i="1"/>
  <c r="G93" i="1"/>
  <c r="I91" i="1"/>
  <c r="I93" i="1"/>
  <c r="F112" i="1"/>
  <c r="F113" i="1"/>
  <c r="F114" i="1"/>
  <c r="F115" i="1"/>
  <c r="E42" i="3"/>
  <c r="C110" i="2"/>
  <c r="L77" i="1"/>
  <c r="L78" i="1"/>
  <c r="L79" i="1"/>
  <c r="L80" i="1"/>
  <c r="L81" i="1"/>
  <c r="L82" i="1"/>
  <c r="L83" i="1"/>
  <c r="L84" i="1"/>
  <c r="L85" i="1"/>
  <c r="L86" i="1"/>
  <c r="L87" i="1"/>
  <c r="L88" i="1"/>
  <c r="L89" i="1"/>
  <c r="L90" i="1"/>
  <c r="L91" i="1"/>
  <c r="L92" i="1"/>
  <c r="L93" i="1"/>
  <c r="C42" i="3"/>
  <c r="D110" i="2"/>
  <c r="U83" i="4"/>
  <c r="Q83" i="4"/>
  <c r="AC65" i="4"/>
  <c r="AC66" i="4"/>
  <c r="AC67" i="4"/>
  <c r="AC68" i="4"/>
  <c r="AC69" i="4"/>
  <c r="AC70" i="4"/>
  <c r="AC71" i="4"/>
  <c r="AC72" i="4"/>
  <c r="AC73" i="4"/>
  <c r="AC74" i="4"/>
  <c r="AC64" i="4"/>
  <c r="Y65" i="4"/>
  <c r="Y66" i="4"/>
  <c r="Y67" i="4"/>
  <c r="Y68" i="4"/>
  <c r="Y69" i="4"/>
  <c r="Y70" i="4"/>
  <c r="Y71" i="4"/>
  <c r="Y72" i="4"/>
  <c r="Y73" i="4"/>
  <c r="Y74" i="4"/>
  <c r="Y64" i="4"/>
  <c r="M9" i="4"/>
  <c r="AG69" i="4"/>
  <c r="AG70" i="4"/>
  <c r="AG71" i="4"/>
  <c r="AG72" i="4"/>
  <c r="AG73" i="4"/>
  <c r="AG74" i="4"/>
  <c r="AG68" i="4"/>
  <c r="AH65" i="4"/>
  <c r="AI91" i="4"/>
  <c r="AG65" i="4"/>
  <c r="AH66" i="4"/>
  <c r="AG66" i="4"/>
  <c r="AH67" i="4"/>
  <c r="AG67" i="4"/>
  <c r="AH64" i="4"/>
  <c r="AG64" i="4"/>
  <c r="AL74" i="4"/>
  <c r="AH74" i="4"/>
  <c r="AK74" i="4"/>
  <c r="AL73" i="4"/>
  <c r="AH73" i="4"/>
  <c r="AK73" i="4"/>
  <c r="AL72" i="4"/>
  <c r="AH72" i="4"/>
  <c r="AK72" i="4"/>
  <c r="AL71" i="4"/>
  <c r="AH71" i="4"/>
  <c r="AK71" i="4"/>
  <c r="AL70" i="4"/>
  <c r="AH70" i="4"/>
  <c r="AK70" i="4"/>
  <c r="AL69" i="4"/>
  <c r="AH69" i="4"/>
  <c r="AK69" i="4"/>
  <c r="AL68" i="4"/>
  <c r="AH68" i="4"/>
  <c r="AK68" i="4"/>
  <c r="AL67" i="4"/>
  <c r="AK67" i="4"/>
  <c r="AL66" i="4"/>
  <c r="AK66" i="4"/>
  <c r="AL65" i="4"/>
  <c r="AK65" i="4"/>
  <c r="AL64" i="4"/>
  <c r="AK64" i="4"/>
  <c r="C55" i="1"/>
  <c r="AN65" i="4"/>
  <c r="AN66" i="4"/>
  <c r="AN67" i="4"/>
  <c r="AN68" i="4"/>
  <c r="AN69" i="4"/>
  <c r="AN70" i="4"/>
  <c r="AN71" i="4"/>
  <c r="AN72" i="4"/>
  <c r="AN73" i="4"/>
  <c r="AN74" i="4"/>
  <c r="AN64" i="4"/>
  <c r="AJ65" i="4"/>
  <c r="AJ66" i="4"/>
  <c r="AJ67" i="4"/>
  <c r="AJ68" i="4"/>
  <c r="AJ69" i="4"/>
  <c r="AJ70" i="4"/>
  <c r="AJ71" i="4"/>
  <c r="AJ72" i="4"/>
  <c r="AJ73" i="4"/>
  <c r="AJ74" i="4"/>
  <c r="AJ64" i="4"/>
  <c r="J8" i="4"/>
  <c r="J14" i="4"/>
  <c r="J13" i="4"/>
  <c r="F91" i="1"/>
  <c r="J5" i="4"/>
  <c r="J6" i="4"/>
  <c r="J12" i="4"/>
  <c r="J7" i="4"/>
  <c r="J9" i="4"/>
  <c r="J4" i="4"/>
  <c r="AW3" i="4"/>
  <c r="J3" i="4"/>
  <c r="J10" i="4"/>
  <c r="J11" i="4"/>
  <c r="AW63" i="4"/>
  <c r="AW49" i="4"/>
  <c r="AW52" i="4"/>
  <c r="AW50" i="4"/>
  <c r="AW51" i="4"/>
  <c r="AW48" i="4"/>
  <c r="AW33" i="4"/>
  <c r="AW18" i="4"/>
  <c r="J63" i="4"/>
  <c r="J64" i="4"/>
  <c r="J65" i="4"/>
  <c r="J66" i="4"/>
  <c r="J67" i="4"/>
  <c r="J68" i="4"/>
  <c r="J69" i="4"/>
  <c r="J70" i="4"/>
  <c r="J71" i="4"/>
  <c r="J72" i="4"/>
  <c r="J73" i="4"/>
  <c r="J74" i="4"/>
  <c r="J48" i="4"/>
  <c r="J49" i="4"/>
  <c r="J50" i="4"/>
  <c r="J51" i="4"/>
  <c r="J52" i="4"/>
  <c r="AW53" i="4"/>
  <c r="J53" i="4"/>
  <c r="AW54" i="4"/>
  <c r="J54" i="4"/>
  <c r="AW55" i="4"/>
  <c r="J55" i="4"/>
  <c r="AW56" i="4"/>
  <c r="J56" i="4"/>
  <c r="AW57" i="4"/>
  <c r="J57" i="4"/>
  <c r="AW58" i="4"/>
  <c r="J58" i="4"/>
  <c r="AW59" i="4"/>
  <c r="J59" i="4"/>
  <c r="J33" i="4"/>
  <c r="J34" i="4"/>
  <c r="J35" i="4"/>
  <c r="J36" i="4"/>
  <c r="J37" i="4"/>
  <c r="J38" i="4"/>
  <c r="J39" i="4"/>
  <c r="J40" i="4"/>
  <c r="J41" i="4"/>
  <c r="J42" i="4"/>
  <c r="J43" i="4"/>
  <c r="J44" i="4"/>
  <c r="J18" i="4"/>
  <c r="J19" i="4"/>
  <c r="J20" i="4"/>
  <c r="J21" i="4"/>
  <c r="J22" i="4"/>
  <c r="J23" i="4"/>
  <c r="J24" i="4"/>
  <c r="J25" i="4"/>
  <c r="J26" i="4"/>
  <c r="J27" i="4"/>
  <c r="J28" i="4"/>
  <c r="J29" i="4"/>
  <c r="E55" i="1"/>
  <c r="Z64" i="4"/>
  <c r="AA64" i="4"/>
  <c r="AB64" i="4"/>
  <c r="AD64" i="4"/>
  <c r="AE64" i="4"/>
  <c r="AF64" i="4"/>
  <c r="Z65" i="4"/>
  <c r="AA65" i="4"/>
  <c r="AB65" i="4"/>
  <c r="AD65" i="4"/>
  <c r="AE65" i="4"/>
  <c r="AF65" i="4"/>
  <c r="Z66" i="4"/>
  <c r="AA66" i="4"/>
  <c r="AB66" i="4"/>
  <c r="AD66" i="4"/>
  <c r="AE66" i="4"/>
  <c r="AF66" i="4"/>
  <c r="Z67" i="4"/>
  <c r="AA67" i="4"/>
  <c r="AB67" i="4"/>
  <c r="AD67" i="4"/>
  <c r="AE67" i="4"/>
  <c r="AF67" i="4"/>
  <c r="Z68" i="4"/>
  <c r="AA68" i="4"/>
  <c r="AB68" i="4"/>
  <c r="AD68" i="4"/>
  <c r="AE68" i="4"/>
  <c r="AF68" i="4"/>
  <c r="Z69" i="4"/>
  <c r="AA69" i="4"/>
  <c r="AB69" i="4"/>
  <c r="AD69" i="4"/>
  <c r="AE69" i="4"/>
  <c r="AF69" i="4"/>
  <c r="Z70" i="4"/>
  <c r="AA70" i="4"/>
  <c r="AB70" i="4"/>
  <c r="AD70" i="4"/>
  <c r="AE70" i="4"/>
  <c r="AF70" i="4"/>
  <c r="Z71" i="4"/>
  <c r="AA71" i="4"/>
  <c r="AB71" i="4"/>
  <c r="AD71" i="4"/>
  <c r="AE71" i="4"/>
  <c r="AF71" i="4"/>
  <c r="Z72" i="4"/>
  <c r="AA72" i="4"/>
  <c r="AB72" i="4"/>
  <c r="AD72" i="4"/>
  <c r="AE72" i="4"/>
  <c r="AF72" i="4"/>
  <c r="Z73" i="4"/>
  <c r="AA73" i="4"/>
  <c r="AB73" i="4"/>
  <c r="AD73" i="4"/>
  <c r="AE73" i="4"/>
  <c r="AF73" i="4"/>
  <c r="Z74" i="4"/>
  <c r="AA74" i="4"/>
  <c r="AB74" i="4"/>
  <c r="AD74" i="4"/>
  <c r="AE74" i="4"/>
  <c r="AF74" i="4"/>
  <c r="AV59" i="4"/>
  <c r="AF59" i="4"/>
  <c r="AF44" i="4"/>
  <c r="AF29" i="4"/>
  <c r="AF14" i="4"/>
  <c r="AU59" i="4"/>
  <c r="AE59" i="4"/>
  <c r="AE44" i="4"/>
  <c r="AE29" i="4"/>
  <c r="AE14" i="4"/>
  <c r="AT59" i="4"/>
  <c r="AD59" i="4"/>
  <c r="AD44" i="4"/>
  <c r="AD29" i="4"/>
  <c r="AD14" i="4"/>
  <c r="AS59" i="4"/>
  <c r="AC59" i="4"/>
  <c r="AC44" i="4"/>
  <c r="AC29" i="4"/>
  <c r="AC14" i="4"/>
  <c r="AR59" i="4"/>
  <c r="AB59" i="4"/>
  <c r="AB44" i="4"/>
  <c r="AB29" i="4"/>
  <c r="AB14" i="4"/>
  <c r="AQ59" i="4"/>
  <c r="AA59" i="4"/>
  <c r="AA44" i="4"/>
  <c r="AA29" i="4"/>
  <c r="AA14" i="4"/>
  <c r="AP59" i="4"/>
  <c r="Z59" i="4"/>
  <c r="Z44" i="4"/>
  <c r="Z29" i="4"/>
  <c r="Z14" i="4"/>
  <c r="AO59" i="4"/>
  <c r="Y59" i="4"/>
  <c r="Y44" i="4"/>
  <c r="Y29" i="4"/>
  <c r="Y14" i="4"/>
  <c r="AV58" i="4"/>
  <c r="AF58" i="4"/>
  <c r="AF43" i="4"/>
  <c r="AF28" i="4"/>
  <c r="AF13" i="4"/>
  <c r="AU58" i="4"/>
  <c r="AE58" i="4"/>
  <c r="AE43" i="4"/>
  <c r="AE28" i="4"/>
  <c r="AE13" i="4"/>
  <c r="AT58" i="4"/>
  <c r="AD58" i="4"/>
  <c r="AD43" i="4"/>
  <c r="AD28" i="4"/>
  <c r="AD13" i="4"/>
  <c r="AS58" i="4"/>
  <c r="AC58" i="4"/>
  <c r="AC43" i="4"/>
  <c r="AC28" i="4"/>
  <c r="AC13" i="4"/>
  <c r="AR58" i="4"/>
  <c r="AB58" i="4"/>
  <c r="AB43" i="4"/>
  <c r="AB28" i="4"/>
  <c r="AB13" i="4"/>
  <c r="AQ58" i="4"/>
  <c r="AA58" i="4"/>
  <c r="AA43" i="4"/>
  <c r="AA28" i="4"/>
  <c r="AA13" i="4"/>
  <c r="AP58" i="4"/>
  <c r="Z58" i="4"/>
  <c r="Z43" i="4"/>
  <c r="Z28" i="4"/>
  <c r="Z13" i="4"/>
  <c r="AO58" i="4"/>
  <c r="Y58" i="4"/>
  <c r="Y43" i="4"/>
  <c r="Y28" i="4"/>
  <c r="Y13" i="4"/>
  <c r="AV57" i="4"/>
  <c r="AF57" i="4"/>
  <c r="AF42" i="4"/>
  <c r="AF27" i="4"/>
  <c r="AF12" i="4"/>
  <c r="AU57" i="4"/>
  <c r="AE57" i="4"/>
  <c r="AE42" i="4"/>
  <c r="AE27" i="4"/>
  <c r="AE12" i="4"/>
  <c r="AT57" i="4"/>
  <c r="AD57" i="4"/>
  <c r="AD42" i="4"/>
  <c r="AD27" i="4"/>
  <c r="AD12" i="4"/>
  <c r="AS57" i="4"/>
  <c r="AC57" i="4"/>
  <c r="AC42" i="4"/>
  <c r="AC27" i="4"/>
  <c r="AC12" i="4"/>
  <c r="AR57" i="4"/>
  <c r="AB57" i="4"/>
  <c r="AB42" i="4"/>
  <c r="AB27" i="4"/>
  <c r="AB12" i="4"/>
  <c r="AQ57" i="4"/>
  <c r="AA57" i="4"/>
  <c r="AA42" i="4"/>
  <c r="AA27" i="4"/>
  <c r="AA12" i="4"/>
  <c r="AP57" i="4"/>
  <c r="Z57" i="4"/>
  <c r="Z42" i="4"/>
  <c r="Z27" i="4"/>
  <c r="Z12" i="4"/>
  <c r="AO57" i="4"/>
  <c r="Y57" i="4"/>
  <c r="Y42" i="4"/>
  <c r="Y27" i="4"/>
  <c r="Y12" i="4"/>
  <c r="AV56" i="4"/>
  <c r="AF56" i="4"/>
  <c r="AF41" i="4"/>
  <c r="AF26" i="4"/>
  <c r="AF11" i="4"/>
  <c r="AU56" i="4"/>
  <c r="AE56" i="4"/>
  <c r="AE41" i="4"/>
  <c r="AE26" i="4"/>
  <c r="AE11" i="4"/>
  <c r="AT56" i="4"/>
  <c r="AD56" i="4"/>
  <c r="AD41" i="4"/>
  <c r="AD26" i="4"/>
  <c r="AD11" i="4"/>
  <c r="AS56" i="4"/>
  <c r="AC56" i="4"/>
  <c r="AC41" i="4"/>
  <c r="AC26" i="4"/>
  <c r="AC11" i="4"/>
  <c r="AR56" i="4"/>
  <c r="AB56" i="4"/>
  <c r="AB41" i="4"/>
  <c r="AB26" i="4"/>
  <c r="AB11" i="4"/>
  <c r="AQ56" i="4"/>
  <c r="AA56" i="4"/>
  <c r="AA41" i="4"/>
  <c r="AA26" i="4"/>
  <c r="AA11" i="4"/>
  <c r="AP56" i="4"/>
  <c r="Z56" i="4"/>
  <c r="Z41" i="4"/>
  <c r="Z26" i="4"/>
  <c r="Z11" i="4"/>
  <c r="AO56" i="4"/>
  <c r="Y56" i="4"/>
  <c r="Y41" i="4"/>
  <c r="Y26" i="4"/>
  <c r="Y11" i="4"/>
  <c r="AV55" i="4"/>
  <c r="AF55" i="4"/>
  <c r="AF40" i="4"/>
  <c r="AF25" i="4"/>
  <c r="AF10" i="4"/>
  <c r="AU55" i="4"/>
  <c r="AE55" i="4"/>
  <c r="AE40" i="4"/>
  <c r="AE25" i="4"/>
  <c r="AE10" i="4"/>
  <c r="AT55" i="4"/>
  <c r="AD55" i="4"/>
  <c r="AD40" i="4"/>
  <c r="AD25" i="4"/>
  <c r="AD10" i="4"/>
  <c r="AS55" i="4"/>
  <c r="AC55" i="4"/>
  <c r="AC40" i="4"/>
  <c r="AC25" i="4"/>
  <c r="AC10" i="4"/>
  <c r="AR55" i="4"/>
  <c r="AB55" i="4"/>
  <c r="AB40" i="4"/>
  <c r="AB25" i="4"/>
  <c r="AB10" i="4"/>
  <c r="AQ55" i="4"/>
  <c r="AA55" i="4"/>
  <c r="AA40" i="4"/>
  <c r="AA25" i="4"/>
  <c r="AA10" i="4"/>
  <c r="AP55" i="4"/>
  <c r="Z55" i="4"/>
  <c r="Z40" i="4"/>
  <c r="Z25" i="4"/>
  <c r="Z10" i="4"/>
  <c r="AO55" i="4"/>
  <c r="Y55" i="4"/>
  <c r="Y40" i="4"/>
  <c r="Y25" i="4"/>
  <c r="Y10" i="4"/>
  <c r="AV54" i="4"/>
  <c r="AF54" i="4"/>
  <c r="AF39" i="4"/>
  <c r="AF24" i="4"/>
  <c r="AF9" i="4"/>
  <c r="AU54" i="4"/>
  <c r="AE54" i="4"/>
  <c r="AE39" i="4"/>
  <c r="AE24" i="4"/>
  <c r="AE9" i="4"/>
  <c r="AT54" i="4"/>
  <c r="AD54" i="4"/>
  <c r="AD39" i="4"/>
  <c r="AD24" i="4"/>
  <c r="AD9" i="4"/>
  <c r="AS54" i="4"/>
  <c r="AC54" i="4"/>
  <c r="AC39" i="4"/>
  <c r="AC24" i="4"/>
  <c r="AC9" i="4"/>
  <c r="AR54" i="4"/>
  <c r="AB54" i="4"/>
  <c r="AB39" i="4"/>
  <c r="AB24" i="4"/>
  <c r="AB9" i="4"/>
  <c r="AQ54" i="4"/>
  <c r="AA54" i="4"/>
  <c r="AA39" i="4"/>
  <c r="AA24" i="4"/>
  <c r="AA9" i="4"/>
  <c r="AP54" i="4"/>
  <c r="Z54" i="4"/>
  <c r="Z39" i="4"/>
  <c r="Z24" i="4"/>
  <c r="Z9" i="4"/>
  <c r="AO54" i="4"/>
  <c r="Y54" i="4"/>
  <c r="Y39" i="4"/>
  <c r="Y24" i="4"/>
  <c r="Y9" i="4"/>
  <c r="AV53" i="4"/>
  <c r="AF53" i="4"/>
  <c r="AF38" i="4"/>
  <c r="AF23" i="4"/>
  <c r="AF8" i="4"/>
  <c r="AU53" i="4"/>
  <c r="AE53" i="4"/>
  <c r="AE38" i="4"/>
  <c r="AE23" i="4"/>
  <c r="AE8" i="4"/>
  <c r="AT53" i="4"/>
  <c r="AD53" i="4"/>
  <c r="AD38" i="4"/>
  <c r="AD23" i="4"/>
  <c r="AD8" i="4"/>
  <c r="AS53" i="4"/>
  <c r="AC53" i="4"/>
  <c r="AC38" i="4"/>
  <c r="AC23" i="4"/>
  <c r="AC8" i="4"/>
  <c r="AR53" i="4"/>
  <c r="AB53" i="4"/>
  <c r="AB38" i="4"/>
  <c r="AB23" i="4"/>
  <c r="AB8" i="4"/>
  <c r="AQ53" i="4"/>
  <c r="AA53" i="4"/>
  <c r="AA38" i="4"/>
  <c r="AA23" i="4"/>
  <c r="AA8" i="4"/>
  <c r="AP53" i="4"/>
  <c r="Z53" i="4"/>
  <c r="Z38" i="4"/>
  <c r="Z23" i="4"/>
  <c r="Z8" i="4"/>
  <c r="AO53" i="4"/>
  <c r="Y53" i="4"/>
  <c r="Y38" i="4"/>
  <c r="Y23" i="4"/>
  <c r="Y8" i="4"/>
  <c r="AV52" i="4"/>
  <c r="AF52" i="4"/>
  <c r="AF37" i="4"/>
  <c r="AF22" i="4"/>
  <c r="AF7" i="4"/>
  <c r="AU52" i="4"/>
  <c r="AE52" i="4"/>
  <c r="AE37" i="4"/>
  <c r="AE22" i="4"/>
  <c r="AE7" i="4"/>
  <c r="AT52" i="4"/>
  <c r="AD52" i="4"/>
  <c r="AD37" i="4"/>
  <c r="AD22" i="4"/>
  <c r="AD7" i="4"/>
  <c r="AS52" i="4"/>
  <c r="AC52" i="4"/>
  <c r="AC37" i="4"/>
  <c r="AC22" i="4"/>
  <c r="AC7" i="4"/>
  <c r="AR52" i="4"/>
  <c r="AB52" i="4"/>
  <c r="AB37" i="4"/>
  <c r="AB22" i="4"/>
  <c r="AB7" i="4"/>
  <c r="AQ52" i="4"/>
  <c r="AA52" i="4"/>
  <c r="AA37" i="4"/>
  <c r="AA22" i="4"/>
  <c r="AA7" i="4"/>
  <c r="AP52" i="4"/>
  <c r="Z52" i="4"/>
  <c r="Z37" i="4"/>
  <c r="Z22" i="4"/>
  <c r="Z7" i="4"/>
  <c r="AO52" i="4"/>
  <c r="Y52" i="4"/>
  <c r="Y37" i="4"/>
  <c r="Y22" i="4"/>
  <c r="Y7" i="4"/>
  <c r="AV51" i="4"/>
  <c r="AF51" i="4"/>
  <c r="AF36" i="4"/>
  <c r="AF21" i="4"/>
  <c r="AF6" i="4"/>
  <c r="AU51" i="4"/>
  <c r="AE51" i="4"/>
  <c r="AE36" i="4"/>
  <c r="AE21" i="4"/>
  <c r="AE6" i="4"/>
  <c r="AT51" i="4"/>
  <c r="AD51" i="4"/>
  <c r="AD36" i="4"/>
  <c r="AD21" i="4"/>
  <c r="AD6" i="4"/>
  <c r="AS51" i="4"/>
  <c r="AC51" i="4"/>
  <c r="AC36" i="4"/>
  <c r="AC21" i="4"/>
  <c r="AC6" i="4"/>
  <c r="AR51" i="4"/>
  <c r="AB51" i="4"/>
  <c r="AB36" i="4"/>
  <c r="AB21" i="4"/>
  <c r="AB6" i="4"/>
  <c r="AQ51" i="4"/>
  <c r="AA51" i="4"/>
  <c r="AA36" i="4"/>
  <c r="AA21" i="4"/>
  <c r="AA6" i="4"/>
  <c r="AP51" i="4"/>
  <c r="Z51" i="4"/>
  <c r="Z36" i="4"/>
  <c r="Z21" i="4"/>
  <c r="Z6" i="4"/>
  <c r="AO51" i="4"/>
  <c r="Y51" i="4"/>
  <c r="Y36" i="4"/>
  <c r="Y21" i="4"/>
  <c r="Y6" i="4"/>
  <c r="AV50" i="4"/>
  <c r="AF50" i="4"/>
  <c r="AF35" i="4"/>
  <c r="AF20" i="4"/>
  <c r="AF5" i="4"/>
  <c r="AU50" i="4"/>
  <c r="AE50" i="4"/>
  <c r="AE35" i="4"/>
  <c r="AE20" i="4"/>
  <c r="AE5" i="4"/>
  <c r="AT50" i="4"/>
  <c r="AD50" i="4"/>
  <c r="AD35" i="4"/>
  <c r="AD20" i="4"/>
  <c r="AD5" i="4"/>
  <c r="AS50" i="4"/>
  <c r="AC50" i="4"/>
  <c r="AC35" i="4"/>
  <c r="AC20" i="4"/>
  <c r="AC5" i="4"/>
  <c r="AR50" i="4"/>
  <c r="AB50" i="4"/>
  <c r="AB35" i="4"/>
  <c r="AB20" i="4"/>
  <c r="AB5" i="4"/>
  <c r="AQ50" i="4"/>
  <c r="AA50" i="4"/>
  <c r="AA35" i="4"/>
  <c r="AA20" i="4"/>
  <c r="AA5" i="4"/>
  <c r="AP50" i="4"/>
  <c r="Z50" i="4"/>
  <c r="Z35" i="4"/>
  <c r="Z20" i="4"/>
  <c r="Z5" i="4"/>
  <c r="AO50" i="4"/>
  <c r="Y50" i="4"/>
  <c r="Y35" i="4"/>
  <c r="Y20" i="4"/>
  <c r="Y5" i="4"/>
  <c r="AV49" i="4"/>
  <c r="AF49" i="4"/>
  <c r="AF34" i="4"/>
  <c r="AF19" i="4"/>
  <c r="AF4" i="4"/>
  <c r="AU49" i="4"/>
  <c r="AE49" i="4"/>
  <c r="AE34" i="4"/>
  <c r="AE19" i="4"/>
  <c r="AE4" i="4"/>
  <c r="AT49" i="4"/>
  <c r="AD49" i="4"/>
  <c r="AD34" i="4"/>
  <c r="AD19" i="4"/>
  <c r="AD4" i="4"/>
  <c r="AS49" i="4"/>
  <c r="AC49" i="4"/>
  <c r="AC34" i="4"/>
  <c r="AC19" i="4"/>
  <c r="AC4" i="4"/>
  <c r="AR49" i="4"/>
  <c r="AB49" i="4"/>
  <c r="AB34" i="4"/>
  <c r="AB19" i="4"/>
  <c r="AB4" i="4"/>
  <c r="AQ49" i="4"/>
  <c r="AA49" i="4"/>
  <c r="AA34" i="4"/>
  <c r="AA19" i="4"/>
  <c r="AA4" i="4"/>
  <c r="AP49" i="4"/>
  <c r="Z49" i="4"/>
  <c r="Z34" i="4"/>
  <c r="Z19" i="4"/>
  <c r="Z4" i="4"/>
  <c r="AO49" i="4"/>
  <c r="Y49" i="4"/>
  <c r="Y34" i="4"/>
  <c r="Y19" i="4"/>
  <c r="Y4" i="4"/>
  <c r="AD18" i="4"/>
  <c r="AC18" i="4"/>
  <c r="Z18" i="4"/>
  <c r="Y18" i="4"/>
  <c r="AC33" i="4"/>
  <c r="Y33" i="4"/>
  <c r="Z48" i="4"/>
  <c r="AB48" i="4"/>
  <c r="AD48" i="4"/>
  <c r="AF48" i="4"/>
  <c r="AA48" i="4"/>
  <c r="AE48" i="4"/>
  <c r="AN59" i="4"/>
  <c r="AN44" i="4"/>
  <c r="AN29" i="4"/>
  <c r="AN14" i="4"/>
  <c r="AM74" i="4"/>
  <c r="AM59" i="4"/>
  <c r="AM44" i="4"/>
  <c r="AM29" i="4"/>
  <c r="AM14" i="4"/>
  <c r="AL59" i="4"/>
  <c r="AL44" i="4"/>
  <c r="AL29" i="4"/>
  <c r="AL14" i="4"/>
  <c r="AK59" i="4"/>
  <c r="AK44" i="4"/>
  <c r="AK29" i="4"/>
  <c r="AK14" i="4"/>
  <c r="AJ59" i="4"/>
  <c r="AJ44" i="4"/>
  <c r="AJ29" i="4"/>
  <c r="AJ14" i="4"/>
  <c r="AI74" i="4"/>
  <c r="AI59" i="4"/>
  <c r="AI44" i="4"/>
  <c r="AI29" i="4"/>
  <c r="AI14" i="4"/>
  <c r="AH59" i="4"/>
  <c r="AH44" i="4"/>
  <c r="AH29" i="4"/>
  <c r="AH14" i="4"/>
  <c r="AG59" i="4"/>
  <c r="AG44" i="4"/>
  <c r="AG29" i="4"/>
  <c r="AG14" i="4"/>
  <c r="AN58" i="4"/>
  <c r="AN43" i="4"/>
  <c r="AN28" i="4"/>
  <c r="AN13" i="4"/>
  <c r="AM73" i="4"/>
  <c r="AM58" i="4"/>
  <c r="AM43" i="4"/>
  <c r="AM28" i="4"/>
  <c r="AM13" i="4"/>
  <c r="AL58" i="4"/>
  <c r="AL43" i="4"/>
  <c r="AL28" i="4"/>
  <c r="AL13" i="4"/>
  <c r="AK58" i="4"/>
  <c r="AK43" i="4"/>
  <c r="AK28" i="4"/>
  <c r="AK13" i="4"/>
  <c r="AJ58" i="4"/>
  <c r="AJ43" i="4"/>
  <c r="AJ28" i="4"/>
  <c r="AJ13" i="4"/>
  <c r="AI73" i="4"/>
  <c r="AI58" i="4"/>
  <c r="AI43" i="4"/>
  <c r="AI28" i="4"/>
  <c r="AI13" i="4"/>
  <c r="AH58" i="4"/>
  <c r="AH43" i="4"/>
  <c r="AH28" i="4"/>
  <c r="AH13" i="4"/>
  <c r="AG58" i="4"/>
  <c r="AG43" i="4"/>
  <c r="AG28" i="4"/>
  <c r="AG13" i="4"/>
  <c r="AN57" i="4"/>
  <c r="AN42" i="4"/>
  <c r="AN27" i="4"/>
  <c r="AN12" i="4"/>
  <c r="AM72" i="4"/>
  <c r="AM57" i="4"/>
  <c r="AM42" i="4"/>
  <c r="AM27" i="4"/>
  <c r="AM12" i="4"/>
  <c r="AL57" i="4"/>
  <c r="AL42" i="4"/>
  <c r="AL27" i="4"/>
  <c r="AL12" i="4"/>
  <c r="AK57" i="4"/>
  <c r="AK42" i="4"/>
  <c r="AK27" i="4"/>
  <c r="AK12" i="4"/>
  <c r="AJ57" i="4"/>
  <c r="AJ42" i="4"/>
  <c r="AJ27" i="4"/>
  <c r="AJ12" i="4"/>
  <c r="AI72" i="4"/>
  <c r="AI57" i="4"/>
  <c r="AI42" i="4"/>
  <c r="AI27" i="4"/>
  <c r="AI12" i="4"/>
  <c r="AH57" i="4"/>
  <c r="AH42" i="4"/>
  <c r="AH27" i="4"/>
  <c r="AH12" i="4"/>
  <c r="AG57" i="4"/>
  <c r="AG42" i="4"/>
  <c r="AG27" i="4"/>
  <c r="AG12" i="4"/>
  <c r="AN56" i="4"/>
  <c r="AN41" i="4"/>
  <c r="AN26" i="4"/>
  <c r="AN11" i="4"/>
  <c r="AM71" i="4"/>
  <c r="AM56" i="4"/>
  <c r="AM41" i="4"/>
  <c r="AM26" i="4"/>
  <c r="AM11" i="4"/>
  <c r="AL56" i="4"/>
  <c r="AL41" i="4"/>
  <c r="AL26" i="4"/>
  <c r="AL11" i="4"/>
  <c r="AK56" i="4"/>
  <c r="AK41" i="4"/>
  <c r="AK26" i="4"/>
  <c r="AK11" i="4"/>
  <c r="AJ56" i="4"/>
  <c r="AJ41" i="4"/>
  <c r="AJ26" i="4"/>
  <c r="AJ11" i="4"/>
  <c r="AI71" i="4"/>
  <c r="AI56" i="4"/>
  <c r="AI41" i="4"/>
  <c r="AI26" i="4"/>
  <c r="AI11" i="4"/>
  <c r="AH56" i="4"/>
  <c r="AH41" i="4"/>
  <c r="AH26" i="4"/>
  <c r="AH11" i="4"/>
  <c r="AG56" i="4"/>
  <c r="AG41" i="4"/>
  <c r="AG26" i="4"/>
  <c r="AG11" i="4"/>
  <c r="AN55" i="4"/>
  <c r="AN40" i="4"/>
  <c r="AN25" i="4"/>
  <c r="AN10" i="4"/>
  <c r="AM70" i="4"/>
  <c r="AM55" i="4"/>
  <c r="AM40" i="4"/>
  <c r="AM25" i="4"/>
  <c r="AM10" i="4"/>
  <c r="AL55" i="4"/>
  <c r="AL40" i="4"/>
  <c r="AL25" i="4"/>
  <c r="AL10" i="4"/>
  <c r="AK55" i="4"/>
  <c r="AK40" i="4"/>
  <c r="AK25" i="4"/>
  <c r="AK10" i="4"/>
  <c r="AJ55" i="4"/>
  <c r="AJ40" i="4"/>
  <c r="AJ25" i="4"/>
  <c r="AJ10" i="4"/>
  <c r="AI70" i="4"/>
  <c r="AI55" i="4"/>
  <c r="AI40" i="4"/>
  <c r="AI25" i="4"/>
  <c r="AI10" i="4"/>
  <c r="AH55" i="4"/>
  <c r="AH40" i="4"/>
  <c r="AH25" i="4"/>
  <c r="AH10" i="4"/>
  <c r="AG55" i="4"/>
  <c r="AG40" i="4"/>
  <c r="AG25" i="4"/>
  <c r="AG10" i="4"/>
  <c r="AN54" i="4"/>
  <c r="AN39" i="4"/>
  <c r="AN24" i="4"/>
  <c r="AN9" i="4"/>
  <c r="AM69" i="4"/>
  <c r="AM54" i="4"/>
  <c r="AM39" i="4"/>
  <c r="AM24" i="4"/>
  <c r="AM9" i="4"/>
  <c r="AL54" i="4"/>
  <c r="AL39" i="4"/>
  <c r="AL24" i="4"/>
  <c r="AL9" i="4"/>
  <c r="AK54" i="4"/>
  <c r="AK39" i="4"/>
  <c r="AK24" i="4"/>
  <c r="AK9" i="4"/>
  <c r="AJ54" i="4"/>
  <c r="AJ39" i="4"/>
  <c r="AJ24" i="4"/>
  <c r="AJ9" i="4"/>
  <c r="AI69" i="4"/>
  <c r="AI54" i="4"/>
  <c r="AI39" i="4"/>
  <c r="AI24" i="4"/>
  <c r="AI9" i="4"/>
  <c r="AH54" i="4"/>
  <c r="AH39" i="4"/>
  <c r="AH24" i="4"/>
  <c r="AH9" i="4"/>
  <c r="AG54" i="4"/>
  <c r="AG39" i="4"/>
  <c r="AG24" i="4"/>
  <c r="AG9" i="4"/>
  <c r="AN53" i="4"/>
  <c r="AN38" i="4"/>
  <c r="AN23" i="4"/>
  <c r="AN8" i="4"/>
  <c r="AM68" i="4"/>
  <c r="AM53" i="4"/>
  <c r="AM38" i="4"/>
  <c r="AM23" i="4"/>
  <c r="AM8" i="4"/>
  <c r="AL53" i="4"/>
  <c r="AL38" i="4"/>
  <c r="AL23" i="4"/>
  <c r="AL8" i="4"/>
  <c r="AK53" i="4"/>
  <c r="AK38" i="4"/>
  <c r="AK23" i="4"/>
  <c r="AK8" i="4"/>
  <c r="AJ53" i="4"/>
  <c r="AJ38" i="4"/>
  <c r="AJ23" i="4"/>
  <c r="AJ8" i="4"/>
  <c r="AI68" i="4"/>
  <c r="AI53" i="4"/>
  <c r="AI38" i="4"/>
  <c r="AI23" i="4"/>
  <c r="AI8" i="4"/>
  <c r="AH53" i="4"/>
  <c r="AH38" i="4"/>
  <c r="AH23" i="4"/>
  <c r="AH8" i="4"/>
  <c r="AG53" i="4"/>
  <c r="AG38" i="4"/>
  <c r="AG23" i="4"/>
  <c r="AG8" i="4"/>
  <c r="AN52" i="4"/>
  <c r="AN37" i="4"/>
  <c r="AN22" i="4"/>
  <c r="AN7" i="4"/>
  <c r="AM67" i="4"/>
  <c r="AM52" i="4"/>
  <c r="AM37" i="4"/>
  <c r="AM22" i="4"/>
  <c r="AM7" i="4"/>
  <c r="AL52" i="4"/>
  <c r="AL37" i="4"/>
  <c r="AL22" i="4"/>
  <c r="AL7" i="4"/>
  <c r="AK52" i="4"/>
  <c r="AK37" i="4"/>
  <c r="AK22" i="4"/>
  <c r="AK7" i="4"/>
  <c r="AJ52" i="4"/>
  <c r="AJ37" i="4"/>
  <c r="AJ22" i="4"/>
  <c r="AJ7" i="4"/>
  <c r="AI67" i="4"/>
  <c r="AI52" i="4"/>
  <c r="AI37" i="4"/>
  <c r="AI22" i="4"/>
  <c r="AI7" i="4"/>
  <c r="AH52" i="4"/>
  <c r="AH37" i="4"/>
  <c r="AH22" i="4"/>
  <c r="AH7" i="4"/>
  <c r="AG52" i="4"/>
  <c r="AG37" i="4"/>
  <c r="AG22" i="4"/>
  <c r="AG7" i="4"/>
  <c r="AN51" i="4"/>
  <c r="AN36" i="4"/>
  <c r="AN21" i="4"/>
  <c r="AN6" i="4"/>
  <c r="AM66" i="4"/>
  <c r="AM51" i="4"/>
  <c r="AM36" i="4"/>
  <c r="AM21" i="4"/>
  <c r="AM6" i="4"/>
  <c r="AL51" i="4"/>
  <c r="AL36" i="4"/>
  <c r="AL21" i="4"/>
  <c r="AL6" i="4"/>
  <c r="AK51" i="4"/>
  <c r="AK36" i="4"/>
  <c r="AK21" i="4"/>
  <c r="AK6" i="4"/>
  <c r="AJ51" i="4"/>
  <c r="AJ36" i="4"/>
  <c r="AJ21" i="4"/>
  <c r="AJ6" i="4"/>
  <c r="AI66" i="4"/>
  <c r="AI51" i="4"/>
  <c r="AI36" i="4"/>
  <c r="AI21" i="4"/>
  <c r="AI6" i="4"/>
  <c r="AH51" i="4"/>
  <c r="AH36" i="4"/>
  <c r="AH21" i="4"/>
  <c r="AH6" i="4"/>
  <c r="AG51" i="4"/>
  <c r="AG36" i="4"/>
  <c r="AG21" i="4"/>
  <c r="AG6" i="4"/>
  <c r="AN50" i="4"/>
  <c r="AN35" i="4"/>
  <c r="AN20" i="4"/>
  <c r="AN5" i="4"/>
  <c r="AM65" i="4"/>
  <c r="AM50" i="4"/>
  <c r="AM35" i="4"/>
  <c r="AM20" i="4"/>
  <c r="AM5" i="4"/>
  <c r="AL50" i="4"/>
  <c r="AL35" i="4"/>
  <c r="AL20" i="4"/>
  <c r="AL5" i="4"/>
  <c r="AK50" i="4"/>
  <c r="AK35" i="4"/>
  <c r="AK20" i="4"/>
  <c r="AK5" i="4"/>
  <c r="AJ50" i="4"/>
  <c r="AJ35" i="4"/>
  <c r="AJ20" i="4"/>
  <c r="AJ5" i="4"/>
  <c r="AI65" i="4"/>
  <c r="AI50" i="4"/>
  <c r="AI35" i="4"/>
  <c r="AI20" i="4"/>
  <c r="AI5" i="4"/>
  <c r="AH50" i="4"/>
  <c r="AH35" i="4"/>
  <c r="AH20" i="4"/>
  <c r="AH5" i="4"/>
  <c r="AG50" i="4"/>
  <c r="AG35" i="4"/>
  <c r="AG20" i="4"/>
  <c r="AG5" i="4"/>
  <c r="AN49" i="4"/>
  <c r="AN34" i="4"/>
  <c r="AN19" i="4"/>
  <c r="AN4" i="4"/>
  <c r="AM64" i="4"/>
  <c r="AM49" i="4"/>
  <c r="AM34" i="4"/>
  <c r="AM19" i="4"/>
  <c r="AM4" i="4"/>
  <c r="AL49" i="4"/>
  <c r="AL34" i="4"/>
  <c r="AL19" i="4"/>
  <c r="AL4" i="4"/>
  <c r="AL3" i="4"/>
  <c r="AK49" i="4"/>
  <c r="AK34" i="4"/>
  <c r="AK19" i="4"/>
  <c r="AK4" i="4"/>
  <c r="AJ49" i="4"/>
  <c r="AJ34" i="4"/>
  <c r="AJ19" i="4"/>
  <c r="AJ4" i="4"/>
  <c r="AI64" i="4"/>
  <c r="AI49" i="4"/>
  <c r="AI34" i="4"/>
  <c r="AI19" i="4"/>
  <c r="AI4" i="4"/>
  <c r="AH49" i="4"/>
  <c r="AH34" i="4"/>
  <c r="AH19" i="4"/>
  <c r="AH4" i="4"/>
  <c r="AH3" i="4"/>
  <c r="AN18" i="4"/>
  <c r="AK18" i="4"/>
  <c r="AJ18" i="4"/>
  <c r="AL33" i="4"/>
  <c r="AK33" i="4"/>
  <c r="AH33" i="4"/>
  <c r="AH48" i="4"/>
  <c r="AK48" i="4"/>
  <c r="AL48" i="4"/>
  <c r="AJ48" i="4"/>
  <c r="AN48" i="4"/>
  <c r="M7" i="4"/>
  <c r="O64" i="4"/>
  <c r="O65" i="4"/>
  <c r="O66" i="4"/>
  <c r="O67" i="4"/>
  <c r="O68" i="4"/>
  <c r="O69" i="4"/>
  <c r="O70" i="4"/>
  <c r="O71" i="4"/>
  <c r="O72" i="4"/>
  <c r="O73" i="4"/>
  <c r="O74" i="4"/>
  <c r="AO63" i="4"/>
  <c r="O63" i="4"/>
  <c r="M8" i="4"/>
  <c r="AN63" i="4"/>
  <c r="AH63" i="4"/>
  <c r="AL63" i="4"/>
  <c r="AI63" i="4"/>
  <c r="AM63" i="4"/>
  <c r="D12" i="3"/>
  <c r="E12" i="3"/>
  <c r="F12" i="3"/>
  <c r="G12" i="3"/>
  <c r="H12" i="3"/>
  <c r="I12" i="3"/>
  <c r="J12" i="3"/>
  <c r="K12" i="3"/>
  <c r="L12" i="3"/>
  <c r="M12" i="3"/>
  <c r="N12" i="3"/>
  <c r="D13" i="3"/>
  <c r="E13" i="3"/>
  <c r="C13" i="3"/>
  <c r="F13" i="3"/>
  <c r="G13" i="3"/>
  <c r="H13" i="3"/>
  <c r="I13" i="3"/>
  <c r="J13" i="3"/>
  <c r="K13" i="3"/>
  <c r="L13" i="3"/>
  <c r="M13" i="3"/>
  <c r="N13" i="3"/>
  <c r="O13" i="3"/>
  <c r="E14" i="3"/>
  <c r="H14" i="3"/>
  <c r="M14" i="3"/>
  <c r="C10" i="3"/>
  <c r="C12" i="3"/>
  <c r="K14" i="3"/>
  <c r="X74" i="4"/>
  <c r="X59" i="4"/>
  <c r="X44" i="4"/>
  <c r="X29" i="4"/>
  <c r="X14" i="4"/>
  <c r="W74" i="4"/>
  <c r="W59" i="4"/>
  <c r="W44" i="4"/>
  <c r="W29" i="4"/>
  <c r="W14" i="4"/>
  <c r="V74" i="4"/>
  <c r="V59" i="4"/>
  <c r="V44" i="4"/>
  <c r="V29" i="4"/>
  <c r="V14" i="4"/>
  <c r="T74" i="4"/>
  <c r="T59" i="4"/>
  <c r="T44" i="4"/>
  <c r="T29" i="4"/>
  <c r="T14" i="4"/>
  <c r="S74" i="4"/>
  <c r="S59" i="4"/>
  <c r="S44" i="4"/>
  <c r="S29" i="4"/>
  <c r="S14" i="4"/>
  <c r="R74" i="4"/>
  <c r="R59" i="4"/>
  <c r="R44" i="4"/>
  <c r="R29" i="4"/>
  <c r="R14" i="4"/>
  <c r="X73" i="4"/>
  <c r="X58" i="4"/>
  <c r="X43" i="4"/>
  <c r="X28" i="4"/>
  <c r="X13" i="4"/>
  <c r="W73" i="4"/>
  <c r="W58" i="4"/>
  <c r="W43" i="4"/>
  <c r="W28" i="4"/>
  <c r="W13" i="4"/>
  <c r="V73" i="4"/>
  <c r="V58" i="4"/>
  <c r="V43" i="4"/>
  <c r="V28" i="4"/>
  <c r="V13" i="4"/>
  <c r="T73" i="4"/>
  <c r="T58" i="4"/>
  <c r="T43" i="4"/>
  <c r="T28" i="4"/>
  <c r="T13" i="4"/>
  <c r="S73" i="4"/>
  <c r="S58" i="4"/>
  <c r="S43" i="4"/>
  <c r="S28" i="4"/>
  <c r="S13" i="4"/>
  <c r="R73" i="4"/>
  <c r="R58" i="4"/>
  <c r="R43" i="4"/>
  <c r="R28" i="4"/>
  <c r="R13" i="4"/>
  <c r="X83" i="4"/>
  <c r="X72" i="4"/>
  <c r="X57" i="4"/>
  <c r="X42" i="4"/>
  <c r="X27" i="4"/>
  <c r="X12" i="4"/>
  <c r="W83" i="4"/>
  <c r="W72" i="4"/>
  <c r="W57" i="4"/>
  <c r="W42" i="4"/>
  <c r="W27" i="4"/>
  <c r="W12" i="4"/>
  <c r="V83" i="4"/>
  <c r="V72" i="4"/>
  <c r="V57" i="4"/>
  <c r="V42" i="4"/>
  <c r="V27" i="4"/>
  <c r="V12" i="4"/>
  <c r="T83" i="4"/>
  <c r="T72" i="4"/>
  <c r="T57" i="4"/>
  <c r="T42" i="4"/>
  <c r="T27" i="4"/>
  <c r="T12" i="4"/>
  <c r="S83" i="4"/>
  <c r="S72" i="4"/>
  <c r="S57" i="4"/>
  <c r="S42" i="4"/>
  <c r="S27" i="4"/>
  <c r="S12" i="4"/>
  <c r="R83" i="4"/>
  <c r="R72" i="4"/>
  <c r="R57" i="4"/>
  <c r="R42" i="4"/>
  <c r="R27" i="4"/>
  <c r="R12" i="4"/>
  <c r="X71" i="4"/>
  <c r="X56" i="4"/>
  <c r="X41" i="4"/>
  <c r="X26" i="4"/>
  <c r="X11" i="4"/>
  <c r="W71" i="4"/>
  <c r="W56" i="4"/>
  <c r="W41" i="4"/>
  <c r="W26" i="4"/>
  <c r="W11" i="4"/>
  <c r="V71" i="4"/>
  <c r="V56" i="4"/>
  <c r="V41" i="4"/>
  <c r="V26" i="4"/>
  <c r="V11" i="4"/>
  <c r="T71" i="4"/>
  <c r="T56" i="4"/>
  <c r="T41" i="4"/>
  <c r="T26" i="4"/>
  <c r="T11" i="4"/>
  <c r="S71" i="4"/>
  <c r="S56" i="4"/>
  <c r="S41" i="4"/>
  <c r="S26" i="4"/>
  <c r="S11" i="4"/>
  <c r="R71" i="4"/>
  <c r="R56" i="4"/>
  <c r="R41" i="4"/>
  <c r="R26" i="4"/>
  <c r="R11" i="4"/>
  <c r="X70" i="4"/>
  <c r="X55" i="4"/>
  <c r="X40" i="4"/>
  <c r="X25" i="4"/>
  <c r="X10" i="4"/>
  <c r="W70" i="4"/>
  <c r="W55" i="4"/>
  <c r="W40" i="4"/>
  <c r="W25" i="4"/>
  <c r="W10" i="4"/>
  <c r="V70" i="4"/>
  <c r="V55" i="4"/>
  <c r="V40" i="4"/>
  <c r="V25" i="4"/>
  <c r="V10" i="4"/>
  <c r="T70" i="4"/>
  <c r="T55" i="4"/>
  <c r="T40" i="4"/>
  <c r="T25" i="4"/>
  <c r="T10" i="4"/>
  <c r="S70" i="4"/>
  <c r="S55" i="4"/>
  <c r="S40" i="4"/>
  <c r="S25" i="4"/>
  <c r="S10" i="4"/>
  <c r="R70" i="4"/>
  <c r="R55" i="4"/>
  <c r="R40" i="4"/>
  <c r="R25" i="4"/>
  <c r="R10" i="4"/>
  <c r="X69" i="4"/>
  <c r="X54" i="4"/>
  <c r="X39" i="4"/>
  <c r="X24" i="4"/>
  <c r="X9" i="4"/>
  <c r="W69" i="4"/>
  <c r="W54" i="4"/>
  <c r="W39" i="4"/>
  <c r="W24" i="4"/>
  <c r="W9" i="4"/>
  <c r="V69" i="4"/>
  <c r="V54" i="4"/>
  <c r="V39" i="4"/>
  <c r="V24" i="4"/>
  <c r="V9" i="4"/>
  <c r="T69" i="4"/>
  <c r="T54" i="4"/>
  <c r="T39" i="4"/>
  <c r="T24" i="4"/>
  <c r="T9" i="4"/>
  <c r="S69" i="4"/>
  <c r="S54" i="4"/>
  <c r="S39" i="4"/>
  <c r="S24" i="4"/>
  <c r="S9" i="4"/>
  <c r="R69" i="4"/>
  <c r="R54" i="4"/>
  <c r="R39" i="4"/>
  <c r="R24" i="4"/>
  <c r="R9" i="4"/>
  <c r="X68" i="4"/>
  <c r="X53" i="4"/>
  <c r="X38" i="4"/>
  <c r="X23" i="4"/>
  <c r="X8" i="4"/>
  <c r="W68" i="4"/>
  <c r="W53" i="4"/>
  <c r="W38" i="4"/>
  <c r="W23" i="4"/>
  <c r="W8" i="4"/>
  <c r="V68" i="4"/>
  <c r="V53" i="4"/>
  <c r="V38" i="4"/>
  <c r="V23" i="4"/>
  <c r="V8" i="4"/>
  <c r="T68" i="4"/>
  <c r="T53" i="4"/>
  <c r="T38" i="4"/>
  <c r="T23" i="4"/>
  <c r="T8" i="4"/>
  <c r="S68" i="4"/>
  <c r="S53" i="4"/>
  <c r="S38" i="4"/>
  <c r="S23" i="4"/>
  <c r="S8" i="4"/>
  <c r="R68" i="4"/>
  <c r="R53" i="4"/>
  <c r="R38" i="4"/>
  <c r="R23" i="4"/>
  <c r="R8" i="4"/>
  <c r="X67" i="4"/>
  <c r="X52" i="4"/>
  <c r="X37" i="4"/>
  <c r="X22" i="4"/>
  <c r="X7" i="4"/>
  <c r="W67" i="4"/>
  <c r="W52" i="4"/>
  <c r="W37" i="4"/>
  <c r="W22" i="4"/>
  <c r="W7" i="4"/>
  <c r="V67" i="4"/>
  <c r="V52" i="4"/>
  <c r="V37" i="4"/>
  <c r="V22" i="4"/>
  <c r="V7" i="4"/>
  <c r="T67" i="4"/>
  <c r="T52" i="4"/>
  <c r="T37" i="4"/>
  <c r="T22" i="4"/>
  <c r="T7" i="4"/>
  <c r="S67" i="4"/>
  <c r="S52" i="4"/>
  <c r="S37" i="4"/>
  <c r="S22" i="4"/>
  <c r="S7" i="4"/>
  <c r="R67" i="4"/>
  <c r="R52" i="4"/>
  <c r="R37" i="4"/>
  <c r="R22" i="4"/>
  <c r="R7" i="4"/>
  <c r="X66" i="4"/>
  <c r="X51" i="4"/>
  <c r="X36" i="4"/>
  <c r="X21" i="4"/>
  <c r="X6" i="4"/>
  <c r="W66" i="4"/>
  <c r="W51" i="4"/>
  <c r="W36" i="4"/>
  <c r="W21" i="4"/>
  <c r="W6" i="4"/>
  <c r="V66" i="4"/>
  <c r="V51" i="4"/>
  <c r="V36" i="4"/>
  <c r="V21" i="4"/>
  <c r="V6" i="4"/>
  <c r="T66" i="4"/>
  <c r="T51" i="4"/>
  <c r="T36" i="4"/>
  <c r="T21" i="4"/>
  <c r="T6" i="4"/>
  <c r="S66" i="4"/>
  <c r="S51" i="4"/>
  <c r="S36" i="4"/>
  <c r="S21" i="4"/>
  <c r="S6" i="4"/>
  <c r="R66" i="4"/>
  <c r="R51" i="4"/>
  <c r="R36" i="4"/>
  <c r="R6" i="4"/>
  <c r="X65" i="4"/>
  <c r="X50" i="4"/>
  <c r="X35" i="4"/>
  <c r="X20" i="4"/>
  <c r="X5" i="4"/>
  <c r="W65" i="4"/>
  <c r="W50" i="4"/>
  <c r="W35" i="4"/>
  <c r="W20" i="4"/>
  <c r="W5" i="4"/>
  <c r="V65" i="4"/>
  <c r="V50" i="4"/>
  <c r="V35" i="4"/>
  <c r="V20" i="4"/>
  <c r="V5" i="4"/>
  <c r="T65" i="4"/>
  <c r="T50" i="4"/>
  <c r="T35" i="4"/>
  <c r="T20" i="4"/>
  <c r="T5" i="4"/>
  <c r="S65" i="4"/>
  <c r="S50" i="4"/>
  <c r="S35" i="4"/>
  <c r="S20" i="4"/>
  <c r="S5" i="4"/>
  <c r="R65" i="4"/>
  <c r="R50" i="4"/>
  <c r="R35" i="4"/>
  <c r="R20" i="4"/>
  <c r="R5" i="4"/>
  <c r="X64" i="4"/>
  <c r="X49" i="4"/>
  <c r="X34" i="4"/>
  <c r="X19" i="4"/>
  <c r="X4" i="4"/>
  <c r="W64" i="4"/>
  <c r="W49" i="4"/>
  <c r="W34" i="4"/>
  <c r="W19" i="4"/>
  <c r="W4" i="4"/>
  <c r="V64" i="4"/>
  <c r="V49" i="4"/>
  <c r="V34" i="4"/>
  <c r="V19" i="4"/>
  <c r="V4" i="4"/>
  <c r="V3" i="4"/>
  <c r="T64" i="4"/>
  <c r="T49" i="4"/>
  <c r="T34" i="4"/>
  <c r="T19" i="4"/>
  <c r="T4" i="4"/>
  <c r="S64" i="4"/>
  <c r="S49" i="4"/>
  <c r="S34" i="4"/>
  <c r="S19" i="4"/>
  <c r="S4" i="4"/>
  <c r="R64" i="4"/>
  <c r="R49" i="4"/>
  <c r="R34" i="4"/>
  <c r="R19" i="4"/>
  <c r="R4" i="4"/>
  <c r="R3" i="4"/>
  <c r="T33" i="4"/>
  <c r="X33" i="4"/>
  <c r="U33" i="4"/>
  <c r="S33" i="4"/>
  <c r="W33" i="4"/>
  <c r="U48" i="4"/>
  <c r="R48" i="4"/>
  <c r="V48" i="4"/>
  <c r="T48" i="4"/>
  <c r="X48" i="4"/>
  <c r="Q48" i="4"/>
  <c r="S63" i="4"/>
  <c r="X63" i="4"/>
  <c r="R63" i="4"/>
  <c r="V63" i="4"/>
  <c r="W63" i="4"/>
  <c r="U63" i="4"/>
  <c r="Q63" i="4"/>
  <c r="AQ48" i="4"/>
  <c r="AT48" i="4"/>
  <c r="AP48" i="4"/>
  <c r="AV63" i="4"/>
  <c r="AU63" i="4"/>
  <c r="AT63" i="4"/>
  <c r="AS63" i="4"/>
  <c r="AR63" i="4"/>
  <c r="AQ63" i="4"/>
  <c r="AP63" i="4"/>
  <c r="AJ63" i="4"/>
  <c r="AF63" i="4"/>
  <c r="AE63" i="4"/>
  <c r="AD63" i="4"/>
  <c r="AC63" i="4"/>
  <c r="AB63" i="4"/>
  <c r="AA63" i="4"/>
  <c r="Z63" i="4"/>
  <c r="Y63" i="4"/>
  <c r="T63" i="4"/>
  <c r="AU48" i="4"/>
  <c r="AO48" i="4"/>
  <c r="AM48" i="4"/>
  <c r="AI48" i="4"/>
  <c r="AC48" i="4"/>
  <c r="Y48" i="4"/>
  <c r="W48" i="4"/>
  <c r="S48" i="4"/>
  <c r="AV33" i="4"/>
  <c r="AU33" i="4"/>
  <c r="AT33" i="4"/>
  <c r="AS33" i="4"/>
  <c r="AR33" i="4"/>
  <c r="AQ33" i="4"/>
  <c r="AP33" i="4"/>
  <c r="AO33" i="4"/>
  <c r="AN33" i="4"/>
  <c r="AM33" i="4"/>
  <c r="AJ33" i="4"/>
  <c r="AI33" i="4"/>
  <c r="AF33" i="4"/>
  <c r="AE33" i="4"/>
  <c r="AD33" i="4"/>
  <c r="AB33" i="4"/>
  <c r="AA33" i="4"/>
  <c r="Z33" i="4"/>
  <c r="V33" i="4"/>
  <c r="R33" i="4"/>
  <c r="Q33" i="4"/>
  <c r="AV18" i="4"/>
  <c r="AU18" i="4"/>
  <c r="AT18" i="4"/>
  <c r="AS18" i="4"/>
  <c r="AR18" i="4"/>
  <c r="AQ18" i="4"/>
  <c r="AP18" i="4"/>
  <c r="AO18" i="4"/>
  <c r="AM18" i="4"/>
  <c r="AL18" i="4"/>
  <c r="AI18" i="4"/>
  <c r="AH18" i="4"/>
  <c r="AF18" i="4"/>
  <c r="AE18" i="4"/>
  <c r="AB18" i="4"/>
  <c r="AA18" i="4"/>
  <c r="X18" i="4"/>
  <c r="W18" i="4"/>
  <c r="V18" i="4"/>
  <c r="U18" i="4"/>
  <c r="T18" i="4"/>
  <c r="S18" i="4"/>
  <c r="R18" i="4"/>
  <c r="Q18" i="4"/>
  <c r="S3" i="4"/>
  <c r="T3" i="4"/>
  <c r="U3" i="4"/>
  <c r="W3" i="4"/>
  <c r="X3" i="4"/>
  <c r="AI3" i="4"/>
  <c r="AJ3" i="4"/>
  <c r="AK3" i="4"/>
  <c r="AM3" i="4"/>
  <c r="AN3" i="4"/>
  <c r="AO3" i="4"/>
  <c r="AP3" i="4"/>
  <c r="AQ3" i="4"/>
  <c r="AR3" i="4"/>
  <c r="AS3" i="4"/>
  <c r="AT3" i="4"/>
  <c r="AU3" i="4"/>
  <c r="AV3" i="4"/>
  <c r="Q3" i="4"/>
  <c r="AK63" i="4"/>
  <c r="I14" i="3"/>
  <c r="D14" i="3"/>
  <c r="L14" i="3"/>
  <c r="F14" i="3"/>
  <c r="J14" i="3"/>
  <c r="N14" i="3"/>
  <c r="C14" i="3"/>
  <c r="G14" i="3"/>
  <c r="AS48" i="4"/>
  <c r="AV48" i="4"/>
  <c r="AR48" i="4"/>
  <c r="O14" i="3"/>
  <c r="AG49" i="4"/>
  <c r="I44" i="4"/>
  <c r="H44" i="4"/>
  <c r="G44" i="4"/>
  <c r="F44" i="4"/>
  <c r="E44" i="4"/>
  <c r="D44" i="4"/>
  <c r="C44" i="4"/>
  <c r="B44" i="4"/>
  <c r="I43" i="4"/>
  <c r="H43" i="4"/>
  <c r="G43" i="4"/>
  <c r="F43" i="4"/>
  <c r="E43" i="4"/>
  <c r="D43" i="4"/>
  <c r="C43" i="4"/>
  <c r="B43" i="4"/>
  <c r="I42" i="4"/>
  <c r="H42" i="4"/>
  <c r="G42" i="4"/>
  <c r="F42" i="4"/>
  <c r="E42" i="4"/>
  <c r="D42" i="4"/>
  <c r="C42" i="4"/>
  <c r="B42" i="4"/>
  <c r="I41" i="4"/>
  <c r="H41" i="4"/>
  <c r="G41" i="4"/>
  <c r="F41" i="4"/>
  <c r="E41" i="4"/>
  <c r="D41" i="4"/>
  <c r="C41" i="4"/>
  <c r="B41" i="4"/>
  <c r="I40" i="4"/>
  <c r="H40" i="4"/>
  <c r="G40" i="4"/>
  <c r="F40" i="4"/>
  <c r="E40" i="4"/>
  <c r="D40" i="4"/>
  <c r="C40" i="4"/>
  <c r="B40" i="4"/>
  <c r="I39" i="4"/>
  <c r="H39" i="4"/>
  <c r="G39" i="4"/>
  <c r="F39" i="4"/>
  <c r="E39" i="4"/>
  <c r="D39" i="4"/>
  <c r="C39" i="4"/>
  <c r="B39" i="4"/>
  <c r="I38" i="4"/>
  <c r="H38" i="4"/>
  <c r="G38" i="4"/>
  <c r="F38" i="4"/>
  <c r="E38" i="4"/>
  <c r="D38" i="4"/>
  <c r="C38" i="4"/>
  <c r="B38" i="4"/>
  <c r="I37" i="4"/>
  <c r="H37" i="4"/>
  <c r="G37" i="4"/>
  <c r="F37" i="4"/>
  <c r="E37" i="4"/>
  <c r="D37" i="4"/>
  <c r="C37" i="4"/>
  <c r="B37" i="4"/>
  <c r="I36" i="4"/>
  <c r="H36" i="4"/>
  <c r="G36" i="4"/>
  <c r="F36" i="4"/>
  <c r="E36" i="4"/>
  <c r="D36" i="4"/>
  <c r="C36" i="4"/>
  <c r="B36" i="4"/>
  <c r="I35" i="4"/>
  <c r="H35" i="4"/>
  <c r="G35" i="4"/>
  <c r="F35" i="4"/>
  <c r="E35" i="4"/>
  <c r="D35" i="4"/>
  <c r="C35" i="4"/>
  <c r="B35" i="4"/>
  <c r="I34" i="4"/>
  <c r="I33" i="4"/>
  <c r="H34" i="4"/>
  <c r="H33" i="4"/>
  <c r="G34" i="4"/>
  <c r="G33" i="4"/>
  <c r="F34" i="4"/>
  <c r="F33" i="4"/>
  <c r="E34" i="4"/>
  <c r="E33" i="4"/>
  <c r="D34" i="4"/>
  <c r="D33" i="4"/>
  <c r="C34" i="4"/>
  <c r="C33" i="4"/>
  <c r="AG34" i="4"/>
  <c r="B34" i="4"/>
  <c r="B33"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4" i="4"/>
  <c r="H24" i="4"/>
  <c r="G24" i="4"/>
  <c r="F24" i="4"/>
  <c r="E24" i="4"/>
  <c r="D24" i="4"/>
  <c r="C24" i="4"/>
  <c r="B24" i="4"/>
  <c r="I23" i="4"/>
  <c r="H23" i="4"/>
  <c r="G23" i="4"/>
  <c r="F23" i="4"/>
  <c r="E23" i="4"/>
  <c r="D23" i="4"/>
  <c r="C23" i="4"/>
  <c r="B23" i="4"/>
  <c r="I22" i="4"/>
  <c r="H22" i="4"/>
  <c r="G22" i="4"/>
  <c r="F22" i="4"/>
  <c r="E22" i="4"/>
  <c r="D22" i="4"/>
  <c r="C22" i="4"/>
  <c r="B22" i="4"/>
  <c r="I21" i="4"/>
  <c r="H21" i="4"/>
  <c r="G21" i="4"/>
  <c r="F21" i="4"/>
  <c r="E21" i="4"/>
  <c r="D21" i="4"/>
  <c r="C21" i="4"/>
  <c r="B21" i="4"/>
  <c r="I20" i="4"/>
  <c r="H20" i="4"/>
  <c r="G20" i="4"/>
  <c r="F20" i="4"/>
  <c r="E20" i="4"/>
  <c r="D20" i="4"/>
  <c r="C20" i="4"/>
  <c r="B20" i="4"/>
  <c r="I19" i="4"/>
  <c r="I18" i="4"/>
  <c r="H19" i="4"/>
  <c r="H18" i="4"/>
  <c r="G19" i="4"/>
  <c r="G18" i="4"/>
  <c r="F19" i="4"/>
  <c r="F18" i="4"/>
  <c r="E19" i="4"/>
  <c r="E18" i="4"/>
  <c r="D19" i="4"/>
  <c r="D18" i="4"/>
  <c r="C19" i="4"/>
  <c r="C18" i="4"/>
  <c r="AG19" i="4"/>
  <c r="B19" i="4"/>
  <c r="B18" i="4"/>
  <c r="AA3" i="4"/>
  <c r="AE3" i="4"/>
  <c r="AG4" i="4"/>
  <c r="AD3" i="4"/>
  <c r="Z3" i="4"/>
  <c r="Y3" i="4"/>
  <c r="AC3" i="4"/>
  <c r="AF3" i="4"/>
  <c r="AB3" i="4"/>
  <c r="I39" i="1"/>
  <c r="J39" i="1"/>
  <c r="K39" i="1"/>
  <c r="L39" i="1"/>
  <c r="M39" i="1"/>
  <c r="N39" i="1"/>
  <c r="I40" i="1"/>
  <c r="J40" i="1"/>
  <c r="K40" i="1"/>
  <c r="L40" i="1"/>
  <c r="M40" i="1"/>
  <c r="N40" i="1"/>
  <c r="I41" i="1"/>
  <c r="J41" i="1"/>
  <c r="K41" i="1"/>
  <c r="L41" i="1"/>
  <c r="M41" i="1"/>
  <c r="N41" i="1"/>
  <c r="I42" i="1"/>
  <c r="J42" i="1"/>
  <c r="K42" i="1"/>
  <c r="L42" i="1"/>
  <c r="M42" i="1"/>
  <c r="N42" i="1"/>
  <c r="I43" i="1"/>
  <c r="J43" i="1"/>
  <c r="K43" i="1"/>
  <c r="L43" i="1"/>
  <c r="M43" i="1"/>
  <c r="N43" i="1"/>
  <c r="I44" i="1"/>
  <c r="J44" i="1"/>
  <c r="K44" i="1"/>
  <c r="L44" i="1"/>
  <c r="M44" i="1"/>
  <c r="N44" i="1"/>
  <c r="I45" i="1"/>
  <c r="J45" i="1"/>
  <c r="K45" i="1"/>
  <c r="L45" i="1"/>
  <c r="M45" i="1"/>
  <c r="N45" i="1"/>
  <c r="I46" i="1"/>
  <c r="J46" i="1"/>
  <c r="K46" i="1"/>
  <c r="L46" i="1"/>
  <c r="M46" i="1"/>
  <c r="N46" i="1"/>
  <c r="I47" i="1"/>
  <c r="J47" i="1"/>
  <c r="K47" i="1"/>
  <c r="L47" i="1"/>
  <c r="M47" i="1"/>
  <c r="N47" i="1"/>
  <c r="I48" i="1"/>
  <c r="J48" i="1"/>
  <c r="K48" i="1"/>
  <c r="L48" i="1"/>
  <c r="M48" i="1"/>
  <c r="N48" i="1"/>
  <c r="I49" i="1"/>
  <c r="J49" i="1"/>
  <c r="K49" i="1"/>
  <c r="L49" i="1"/>
  <c r="M49" i="1"/>
  <c r="N49" i="1"/>
  <c r="I50" i="1"/>
  <c r="J50" i="1"/>
  <c r="K50" i="1"/>
  <c r="L50" i="1"/>
  <c r="M50" i="1"/>
  <c r="N50" i="1"/>
  <c r="I52" i="1"/>
  <c r="J52" i="1"/>
  <c r="K52" i="1"/>
  <c r="L52" i="1"/>
  <c r="M52" i="1"/>
  <c r="N52" i="1"/>
  <c r="I51" i="1"/>
  <c r="J51" i="1"/>
  <c r="K51" i="1"/>
  <c r="L51" i="1"/>
  <c r="M51" i="1"/>
  <c r="N51" i="1"/>
  <c r="G112" i="1"/>
  <c r="E112" i="1"/>
  <c r="D112" i="1"/>
  <c r="C112" i="1"/>
  <c r="K90" i="1"/>
  <c r="J90" i="1"/>
  <c r="E61" i="3"/>
  <c r="E51" i="3"/>
  <c r="D51" i="3"/>
  <c r="C50" i="3"/>
  <c r="B45" i="3"/>
  <c r="E39" i="3"/>
  <c r="C39" i="3"/>
  <c r="B33" i="3"/>
  <c r="B32" i="3"/>
  <c r="B31" i="3"/>
  <c r="B30" i="3"/>
  <c r="B29" i="3"/>
  <c r="B28" i="3"/>
  <c r="B27" i="3"/>
  <c r="B26" i="3"/>
  <c r="B25" i="3"/>
  <c r="B24" i="3"/>
  <c r="B23" i="3"/>
  <c r="B22" i="3"/>
  <c r="B21" i="3"/>
  <c r="B20" i="3"/>
  <c r="F19" i="3"/>
  <c r="E19" i="3"/>
  <c r="C19" i="3"/>
  <c r="C7" i="3"/>
  <c r="F4" i="3"/>
  <c r="E4" i="3"/>
  <c r="B2" i="3"/>
  <c r="B135" i="1"/>
  <c r="B134" i="1"/>
  <c r="B133" i="1"/>
  <c r="B132" i="1"/>
  <c r="B131" i="1"/>
  <c r="B130" i="1"/>
  <c r="B129" i="1"/>
  <c r="B128" i="1"/>
  <c r="B127" i="1"/>
  <c r="B126" i="1"/>
  <c r="B125" i="1"/>
  <c r="B124" i="1"/>
  <c r="B123" i="1"/>
  <c r="B122" i="1"/>
  <c r="B119" i="1"/>
  <c r="B112" i="1"/>
  <c r="B111" i="1"/>
  <c r="B110" i="1"/>
  <c r="B109" i="1"/>
  <c r="B108" i="1"/>
  <c r="B107" i="1"/>
  <c r="B106" i="1"/>
  <c r="B105" i="1"/>
  <c r="B104" i="1"/>
  <c r="B103" i="1"/>
  <c r="B102" i="1"/>
  <c r="B101" i="1"/>
  <c r="B100" i="1"/>
  <c r="B99" i="1"/>
  <c r="B97" i="1"/>
  <c r="B90" i="1"/>
  <c r="B89" i="1"/>
  <c r="B88" i="1"/>
  <c r="B87" i="1"/>
  <c r="B86" i="1"/>
  <c r="B85" i="1"/>
  <c r="B84" i="1"/>
  <c r="B83" i="1"/>
  <c r="B82" i="1"/>
  <c r="B81" i="1"/>
  <c r="B80" i="1"/>
  <c r="B79" i="1"/>
  <c r="B78" i="1"/>
  <c r="B77" i="1"/>
  <c r="C75" i="1"/>
  <c r="C97" i="1"/>
  <c r="B75" i="1"/>
  <c r="B52" i="1"/>
  <c r="B51" i="1"/>
  <c r="B50" i="1"/>
  <c r="B49" i="1"/>
  <c r="B48" i="1"/>
  <c r="B47" i="1"/>
  <c r="B46" i="1"/>
  <c r="B45" i="1"/>
  <c r="B44" i="1"/>
  <c r="B43" i="1"/>
  <c r="J53" i="1"/>
  <c r="B42" i="1"/>
  <c r="B41" i="1"/>
  <c r="B40" i="1"/>
  <c r="N53" i="1"/>
  <c r="M53" i="1"/>
  <c r="I53" i="1"/>
  <c r="F53" i="1"/>
  <c r="E53" i="1"/>
  <c r="B39" i="1"/>
  <c r="N18" i="1"/>
  <c r="N38" i="1"/>
  <c r="B37" i="1"/>
  <c r="N33" i="1"/>
  <c r="M33" i="1"/>
  <c r="L33" i="1"/>
  <c r="K33" i="1"/>
  <c r="J33" i="1"/>
  <c r="I33" i="1"/>
  <c r="H33" i="1"/>
  <c r="G33" i="1"/>
  <c r="F33" i="1"/>
  <c r="E33" i="1"/>
  <c r="D33" i="1"/>
  <c r="C33" i="1"/>
  <c r="P32" i="1"/>
  <c r="P31" i="1"/>
  <c r="P30" i="1"/>
  <c r="P29" i="1"/>
  <c r="P28" i="1"/>
  <c r="P27" i="1"/>
  <c r="P26" i="1"/>
  <c r="P25" i="1"/>
  <c r="P24" i="1"/>
  <c r="P23" i="1"/>
  <c r="P22" i="1"/>
  <c r="P21" i="1"/>
  <c r="P20" i="1"/>
  <c r="P19" i="1"/>
  <c r="M18" i="1"/>
  <c r="M38" i="1"/>
  <c r="L18" i="1"/>
  <c r="L38" i="1"/>
  <c r="K18" i="1"/>
  <c r="K38" i="1"/>
  <c r="J18" i="1"/>
  <c r="J38" i="1"/>
  <c r="I18" i="1"/>
  <c r="I38" i="1"/>
  <c r="H18" i="1"/>
  <c r="H38" i="1"/>
  <c r="G18" i="1"/>
  <c r="G38" i="1"/>
  <c r="F18" i="1"/>
  <c r="F38" i="1"/>
  <c r="E18" i="1"/>
  <c r="E38" i="1"/>
  <c r="D18" i="1"/>
  <c r="D38" i="1"/>
  <c r="C18" i="1"/>
  <c r="C38" i="1"/>
  <c r="O13" i="1"/>
  <c r="D7" i="3"/>
  <c r="D14" i="1"/>
  <c r="L14" i="1"/>
  <c r="C129" i="1"/>
  <c r="I14" i="1"/>
  <c r="G53" i="1"/>
  <c r="K53" i="1"/>
  <c r="C134" i="1"/>
  <c r="E14" i="1"/>
  <c r="M14" i="1"/>
  <c r="H14" i="1"/>
  <c r="P33" i="1"/>
  <c r="Q25" i="1"/>
  <c r="D53" i="1"/>
  <c r="H53" i="1"/>
  <c r="L53" i="1"/>
  <c r="C123" i="1"/>
  <c r="C125" i="1"/>
  <c r="C124" i="1"/>
  <c r="C128" i="1"/>
  <c r="C133" i="1"/>
  <c r="Q30" i="1"/>
  <c r="C122" i="1"/>
  <c r="C126" i="1"/>
  <c r="C130" i="1"/>
  <c r="C132" i="1"/>
  <c r="Q29" i="1"/>
  <c r="Q20" i="1"/>
  <c r="Q27" i="1"/>
  <c r="C127" i="1"/>
  <c r="C131" i="1"/>
  <c r="C135" i="1"/>
  <c r="F14" i="1"/>
  <c r="J14" i="1"/>
  <c r="N14" i="1"/>
  <c r="C53" i="1"/>
  <c r="C14" i="1"/>
  <c r="G14" i="1"/>
  <c r="K14" i="1"/>
  <c r="Q23" i="1"/>
  <c r="Q32" i="1"/>
  <c r="O53" i="1"/>
  <c r="C93" i="1"/>
  <c r="Q26" i="1"/>
  <c r="Q24" i="1"/>
  <c r="Q22" i="1"/>
  <c r="Q19" i="1"/>
  <c r="Q21" i="1"/>
  <c r="Q28" i="1"/>
  <c r="Q31" i="1"/>
  <c r="Q33" i="1"/>
  <c r="O31" i="1"/>
  <c r="O27" i="1"/>
  <c r="O23" i="1"/>
  <c r="O19" i="1"/>
  <c r="O22" i="1"/>
  <c r="O32" i="1"/>
  <c r="O28" i="1"/>
  <c r="O24" i="1"/>
  <c r="O20" i="1"/>
  <c r="O14" i="1"/>
  <c r="O26" i="1"/>
  <c r="O29" i="1"/>
  <c r="O25" i="1"/>
  <c r="O21" i="1"/>
  <c r="O30" i="1"/>
  <c r="C136" i="1"/>
  <c r="G131" i="1"/>
  <c r="H131" i="1"/>
  <c r="I131" i="1"/>
  <c r="J131" i="1"/>
  <c r="G123" i="1"/>
  <c r="I123" i="1"/>
  <c r="H123" i="1"/>
  <c r="G109" i="1"/>
  <c r="C109" i="1"/>
  <c r="C30" i="3"/>
  <c r="E109" i="1"/>
  <c r="F30" i="3"/>
  <c r="D109" i="1"/>
  <c r="K87" i="1"/>
  <c r="E30" i="3"/>
  <c r="J87" i="1"/>
  <c r="D30" i="3"/>
  <c r="I130" i="1"/>
  <c r="H130" i="1"/>
  <c r="G130" i="1"/>
  <c r="G129" i="1"/>
  <c r="I129" i="1"/>
  <c r="H129" i="1"/>
  <c r="I124" i="1"/>
  <c r="H124" i="1"/>
  <c r="G124" i="1"/>
  <c r="E33" i="3"/>
  <c r="D33" i="3"/>
  <c r="C33" i="3"/>
  <c r="F33" i="3"/>
  <c r="I134" i="1"/>
  <c r="H134" i="1"/>
  <c r="G134" i="1"/>
  <c r="J134" i="1"/>
  <c r="I122" i="1"/>
  <c r="H122" i="1"/>
  <c r="G122" i="1"/>
  <c r="E110" i="1"/>
  <c r="C31" i="3"/>
  <c r="D110" i="1"/>
  <c r="G110" i="1"/>
  <c r="C110" i="1"/>
  <c r="J88" i="1"/>
  <c r="D31" i="3"/>
  <c r="F31" i="3"/>
  <c r="K88" i="1"/>
  <c r="E31" i="3"/>
  <c r="I132" i="1"/>
  <c r="H132" i="1"/>
  <c r="G132" i="1"/>
  <c r="J132" i="1"/>
  <c r="G135" i="1"/>
  <c r="I135" i="1"/>
  <c r="H135" i="1"/>
  <c r="G127" i="1"/>
  <c r="H127" i="1"/>
  <c r="I127" i="1"/>
  <c r="J127" i="1"/>
  <c r="C32" i="3"/>
  <c r="G111" i="1"/>
  <c r="C111" i="1"/>
  <c r="E111" i="1"/>
  <c r="F32" i="3"/>
  <c r="D111" i="1"/>
  <c r="K89" i="1"/>
  <c r="E32" i="3"/>
  <c r="J89" i="1"/>
  <c r="D32" i="3"/>
  <c r="I126" i="1"/>
  <c r="H126" i="1"/>
  <c r="G126" i="1"/>
  <c r="G133" i="1"/>
  <c r="I133" i="1"/>
  <c r="H133" i="1"/>
  <c r="I128" i="1"/>
  <c r="H128" i="1"/>
  <c r="G128" i="1"/>
  <c r="J128" i="1"/>
  <c r="G125" i="1"/>
  <c r="I125" i="1"/>
  <c r="H125" i="1"/>
  <c r="D45" i="3"/>
  <c r="C28" i="3"/>
  <c r="G107" i="1"/>
  <c r="C107" i="1"/>
  <c r="E107" i="1"/>
  <c r="D107" i="1"/>
  <c r="F28" i="3"/>
  <c r="K85" i="1"/>
  <c r="E28" i="3"/>
  <c r="J85" i="1"/>
  <c r="D28" i="3"/>
  <c r="J133" i="1"/>
  <c r="C24" i="3"/>
  <c r="G103" i="1"/>
  <c r="C103" i="1"/>
  <c r="E103" i="1"/>
  <c r="D103" i="1"/>
  <c r="F24" i="3"/>
  <c r="K81" i="1"/>
  <c r="E24" i="3"/>
  <c r="J81" i="1"/>
  <c r="D24" i="3"/>
  <c r="E108" i="1"/>
  <c r="D108" i="1"/>
  <c r="G108" i="1"/>
  <c r="C108" i="1"/>
  <c r="J86" i="1"/>
  <c r="D29" i="3"/>
  <c r="C29" i="3"/>
  <c r="K86" i="1"/>
  <c r="E29" i="3"/>
  <c r="F29" i="3"/>
  <c r="J123" i="1"/>
  <c r="G101" i="1"/>
  <c r="C101" i="1"/>
  <c r="C22" i="3"/>
  <c r="E101" i="1"/>
  <c r="D101" i="1"/>
  <c r="F22" i="3"/>
  <c r="K79" i="1"/>
  <c r="E22" i="3"/>
  <c r="J79" i="1"/>
  <c r="D22" i="3"/>
  <c r="E104" i="1"/>
  <c r="D104" i="1"/>
  <c r="G104" i="1"/>
  <c r="C104" i="1"/>
  <c r="C25" i="3"/>
  <c r="F25" i="3"/>
  <c r="K82" i="1"/>
  <c r="E25" i="3"/>
  <c r="J82" i="1"/>
  <c r="D25" i="3"/>
  <c r="C20" i="3"/>
  <c r="G99" i="1"/>
  <c r="C99" i="1"/>
  <c r="E99" i="1"/>
  <c r="D99" i="1"/>
  <c r="K77" i="1"/>
  <c r="J77" i="1"/>
  <c r="G136" i="1"/>
  <c r="J122" i="1"/>
  <c r="J124" i="1"/>
  <c r="E100" i="1"/>
  <c r="D100" i="1"/>
  <c r="G100" i="1"/>
  <c r="C100" i="1"/>
  <c r="C21" i="3"/>
  <c r="F21" i="3"/>
  <c r="K78" i="1"/>
  <c r="E21" i="3"/>
  <c r="J78" i="1"/>
  <c r="D21" i="3"/>
  <c r="I136" i="1"/>
  <c r="E106" i="1"/>
  <c r="C27" i="3"/>
  <c r="D106" i="1"/>
  <c r="G106" i="1"/>
  <c r="C106" i="1"/>
  <c r="F27" i="3"/>
  <c r="K84" i="1"/>
  <c r="E27" i="3"/>
  <c r="J84" i="1"/>
  <c r="D27" i="3"/>
  <c r="O33" i="1"/>
  <c r="D8" i="3"/>
  <c r="J126" i="1"/>
  <c r="J125" i="1"/>
  <c r="J135" i="1"/>
  <c r="E102" i="1"/>
  <c r="C23" i="3"/>
  <c r="D102" i="1"/>
  <c r="G102" i="1"/>
  <c r="C102" i="1"/>
  <c r="F23" i="3"/>
  <c r="K80" i="1"/>
  <c r="E23" i="3"/>
  <c r="J80" i="1"/>
  <c r="D23" i="3"/>
  <c r="G105" i="1"/>
  <c r="C105" i="1"/>
  <c r="C26" i="3"/>
  <c r="E105" i="1"/>
  <c r="D105" i="1"/>
  <c r="F26" i="3"/>
  <c r="K83" i="1"/>
  <c r="E26" i="3"/>
  <c r="J83" i="1"/>
  <c r="D26" i="3"/>
  <c r="H136" i="1"/>
  <c r="J129" i="1"/>
  <c r="J130" i="1"/>
  <c r="C64" i="3"/>
  <c r="J136" i="1"/>
  <c r="C94" i="1"/>
  <c r="C40" i="3"/>
  <c r="D46" i="3"/>
  <c r="C63" i="3"/>
  <c r="C65" i="3"/>
  <c r="F20" i="3"/>
  <c r="G114" i="1"/>
  <c r="C114" i="1"/>
  <c r="K92" i="1"/>
  <c r="E35" i="3"/>
  <c r="E114" i="1"/>
  <c r="J92" i="1"/>
  <c r="D35" i="3"/>
  <c r="C35" i="3"/>
  <c r="D114" i="1"/>
  <c r="F35" i="3"/>
  <c r="D20" i="3"/>
  <c r="E20" i="3"/>
  <c r="D113" i="1"/>
  <c r="G113" i="1"/>
  <c r="G115" i="1"/>
  <c r="G116" i="1"/>
  <c r="C113" i="1"/>
  <c r="C115" i="1"/>
  <c r="E40" i="3"/>
  <c r="K91" i="1"/>
  <c r="E34" i="3"/>
  <c r="J91" i="1"/>
  <c r="D34" i="3"/>
  <c r="C34" i="3"/>
  <c r="E113" i="1"/>
  <c r="F34" i="3"/>
  <c r="C36" i="3"/>
  <c r="D115" i="1"/>
  <c r="E43" i="3"/>
  <c r="C57" i="3"/>
  <c r="D57" i="3"/>
  <c r="E115" i="1"/>
  <c r="E41" i="3"/>
  <c r="C55" i="3"/>
  <c r="D55" i="3"/>
  <c r="E53" i="3"/>
  <c r="E56" i="3"/>
  <c r="D40" i="3"/>
  <c r="D47" i="3"/>
  <c r="F36" i="3"/>
  <c r="J93" i="1"/>
  <c r="C43" i="3"/>
  <c r="E36" i="3"/>
  <c r="D36" i="3"/>
  <c r="C66" i="3"/>
  <c r="K93" i="1"/>
  <c r="E57" i="3"/>
  <c r="C53" i="3"/>
  <c r="D53" i="3"/>
  <c r="D42" i="3"/>
  <c r="C56" i="3"/>
  <c r="D56" i="3"/>
  <c r="E55" i="3"/>
  <c r="C41" i="3"/>
  <c r="C137" i="1"/>
  <c r="C54" i="3"/>
  <c r="D54" i="3"/>
  <c r="E54" i="3"/>
  <c r="D43" i="3"/>
  <c r="I137" i="1"/>
  <c r="H137" i="1"/>
  <c r="G137" i="1"/>
  <c r="E52" i="3"/>
  <c r="C52" i="3"/>
  <c r="D52" i="3"/>
  <c r="D41" i="3"/>
  <c r="D63" i="3"/>
  <c r="J137" i="1"/>
  <c r="J138" i="1"/>
  <c r="G138" i="1"/>
  <c r="D64" i="3"/>
  <c r="E64" i="3"/>
  <c r="H138" i="1"/>
  <c r="D65" i="3"/>
  <c r="E65" i="3"/>
  <c r="I138" i="1"/>
  <c r="D66" i="3"/>
  <c r="E66" i="3"/>
  <c r="E63" i="3"/>
  <c r="AG3" i="4"/>
  <c r="AG48" i="4"/>
  <c r="AG33" i="4"/>
  <c r="AG63" i="4"/>
  <c r="AG18" i="4"/>
  <c r="AH92" i="4"/>
</calcChain>
</file>

<file path=xl/comments1.xml><?xml version="1.0" encoding="utf-8"?>
<comments xmlns="http://schemas.openxmlformats.org/spreadsheetml/2006/main">
  <authors>
    <author/>
  </authors>
  <commentList>
    <comment ref="K7" authorId="0">
      <text>
        <r>
          <rPr>
            <sz val="12"/>
            <color rgb="FF000000"/>
            <rFont val="Calibri"/>
          </rPr>
          <t xml:space="preserve">The unit of measurement you choose will reflect the opportunity cost per size in the next sheet
</t>
        </r>
      </text>
    </comment>
    <comment ref="I8" authorId="0">
      <text>
        <r>
          <rPr>
            <sz val="12"/>
            <color rgb="FF000000"/>
            <rFont val="Calibri"/>
          </rPr>
          <t>Remember to match the units for spending and number of visitors!</t>
        </r>
      </text>
    </comment>
    <comment ref="B13" authorId="0">
      <text>
        <r>
          <rPr>
            <sz val="12"/>
            <color rgb="FF000000"/>
            <rFont val="Calibri"/>
          </rPr>
          <t xml:space="preserve">Insert the number of visitors
</t>
        </r>
      </text>
    </comment>
    <comment ref="B29" authorId="0">
      <text>
        <r>
          <rPr>
            <sz val="12"/>
            <color rgb="FF000000"/>
            <rFont val="Calibri"/>
          </rPr>
          <t xml:space="preserve">The next two categories are related to consumptive tourism
</t>
        </r>
      </text>
    </comment>
    <comment ref="B39" authorId="0">
      <text>
        <r>
          <rPr>
            <sz val="12"/>
            <color rgb="FF000000"/>
            <rFont val="Calibri"/>
          </rPr>
          <t>All inclusive considers bundled services provided by a single business (accomodation, meals, tours and activities). This category can be used for consumptive tourism, as well, considering the hunting daily rate.
Use this category if you don't have expenses divided by the other categories for tour packages.</t>
        </r>
      </text>
    </comment>
    <comment ref="B49" authorId="0">
      <text>
        <r>
          <rPr>
            <sz val="12"/>
            <color rgb="FF000000"/>
            <rFont val="Calibri"/>
          </rPr>
          <t xml:space="preserve">The next two categories are related to consumptive tourism Trophy fee is paid per animal hunted. Local dip, pack and taxidermy is related to the trophy treatment.
</t>
        </r>
      </text>
    </comment>
  </commentList>
</comments>
</file>

<file path=xl/comments2.xml><?xml version="1.0" encoding="utf-8"?>
<comments xmlns="http://schemas.openxmlformats.org/spreadsheetml/2006/main">
  <authors>
    <author/>
  </authors>
  <commentList>
    <comment ref="B13" authorId="0">
      <text>
        <r>
          <rPr>
            <sz val="12"/>
            <color rgb="FF000000"/>
            <rFont val="Calibri"/>
          </rPr>
          <t xml:space="preserve">Insert the number of visitors
</t>
        </r>
      </text>
    </comment>
    <comment ref="C19" authorId="0">
      <text>
        <r>
          <rPr>
            <sz val="12"/>
            <color rgb="FF000000"/>
            <rFont val="Calibri"/>
          </rPr>
          <t xml:space="preserve">Direct sales are the receipts to firms within the region from tourist spending. 
Not all tourist spending on goods will appear as direct sales to the region. The retail margins on goods bought by tourists appear in the Retail Trade sector, the producer price of these goods appears in the corresponding production sector, although only locally made goods are attributed to the region's economy. See note on gas and oil.
</t>
        </r>
      </text>
    </comment>
    <comment ref="D19" authorId="0">
      <text>
        <r>
          <rPr>
            <sz val="12"/>
            <color rgb="FF000000"/>
            <rFont val="Calibri"/>
          </rPr>
          <t>Job estimates are not full time equivalents as they include part time jobs. A full time four month seasonal position, however, is counted as a third of a job (4/12).</t>
        </r>
      </text>
    </comment>
    <comment ref="E19" authorId="0">
      <text>
        <r>
          <rPr>
            <sz val="12"/>
            <color rgb="FF000000"/>
            <rFont val="Calibri"/>
          </rPr>
          <t xml:space="preserve">Personal income includes wage and salary income and proprietor's income
</t>
        </r>
      </text>
    </comment>
    <comment ref="F19" authorId="0">
      <text>
        <r>
          <rPr>
            <sz val="12"/>
            <color rgb="FF000000"/>
            <rFont val="Calibri"/>
          </rPr>
          <t xml:space="preserve">Value added is the most commonly used measure of the contribution of an industry to gross state product. Value added is personal income + profits and rents + indirect business taxes. Equivalently, value added is total sales - the costs of all non-labor inputs.
</t>
        </r>
      </text>
    </comment>
    <comment ref="B20" authorId="0">
      <text>
        <r>
          <rPr>
            <sz val="12"/>
            <color rgb="FF000000"/>
            <rFont val="Calibri"/>
          </rPr>
          <t>All inclusive considers bundled services provided by a single business (accomodation, meals, tours and activities). This category can be used for consumptive tourism, as well, considering the hunting daily rate.
Use this category if you don't have expenses divided by the other categories for tour packages.</t>
        </r>
      </text>
    </comment>
    <comment ref="B25" authorId="0">
      <text>
        <r>
          <rPr>
            <sz val="12"/>
            <color rgb="FF000000"/>
            <rFont val="Calibri"/>
          </rPr>
          <t xml:space="preserve">Dan Stynes:
Gas sales here are for petroleum refining, including only locally produced gas. The margin to service station on gas purchases appears in Retail Trade sector below.
</t>
        </r>
      </text>
    </comment>
    <comment ref="B30" authorId="0">
      <text>
        <r>
          <rPr>
            <sz val="12"/>
            <color rgb="FF000000"/>
            <rFont val="Calibri"/>
          </rPr>
          <t xml:space="preserve">The next two categories are related to consumptive tourism Trophy fee is paid per animal hunted. Local dip, pack and taxidermy is related to the trophy treatment.
</t>
        </r>
      </text>
    </comment>
    <comment ref="B34" authorId="0">
      <text>
        <r>
          <rPr>
            <sz val="12"/>
            <color rgb="FF000000"/>
            <rFont val="Calibri"/>
          </rPr>
          <t xml:space="preserve">All retail margins on goods purchased by visitors are accumulated in the Retail Trade sector.
</t>
        </r>
      </text>
    </comment>
    <comment ref="B35" authorId="0">
      <text>
        <r>
          <rPr>
            <sz val="12"/>
            <color rgb="FF000000"/>
            <rFont val="Calibri"/>
          </rPr>
          <t xml:space="preserve">Wholesale trade margins on goods purchased by tourists are accumulated in wholesale trade sector
</t>
        </r>
      </text>
    </comment>
  </commentList>
</comments>
</file>

<file path=xl/comments3.xml><?xml version="1.0" encoding="utf-8"?>
<comments xmlns="http://schemas.openxmlformats.org/spreadsheetml/2006/main">
  <authors>
    <author>Microsoft Office User</author>
  </authors>
  <commentList>
    <comment ref="X77" authorId="0">
      <text>
        <r>
          <rPr>
            <sz val="10"/>
            <color indexed="81"/>
            <rFont val="Calibri"/>
          </rPr>
          <t xml:space="preserve">Includes direct plus indirect effects
</t>
        </r>
      </text>
    </comment>
  </commentList>
</comments>
</file>

<file path=xl/sharedStrings.xml><?xml version="1.0" encoding="utf-8"?>
<sst xmlns="http://schemas.openxmlformats.org/spreadsheetml/2006/main" count="657" uniqueCount="201">
  <si>
    <t>This is the spread sheet for the Tourism Economic Contribution Assessment in Protected Areas of Developing Countries. You will find the necessary informantion to fill the assessment and interpret the results in the related manual. On this first sheet, you just need to fill the yellow cells, all the others will be calculated automatically. The next sheet presents the summary of the results.</t>
  </si>
  <si>
    <t>(Enter inputs in yellow cells)</t>
  </si>
  <si>
    <t>SUMMARY OF RESULTS</t>
  </si>
  <si>
    <t>Spending data set</t>
  </si>
  <si>
    <t>Size:</t>
  </si>
  <si>
    <t>Name of the PA</t>
  </si>
  <si>
    <t>PA size</t>
  </si>
  <si>
    <t>Year  of spending data</t>
  </si>
  <si>
    <t>Size unit</t>
  </si>
  <si>
    <t>km2</t>
  </si>
  <si>
    <t>Visitors unit</t>
  </si>
  <si>
    <t>Bed-nights</t>
  </si>
  <si>
    <t>Currency unit</t>
  </si>
  <si>
    <t>$</t>
  </si>
  <si>
    <t>Multipliers</t>
  </si>
  <si>
    <t>Rural</t>
  </si>
  <si>
    <t>Visitor Units</t>
  </si>
  <si>
    <t>Average spending per unit</t>
  </si>
  <si>
    <t>Total</t>
  </si>
  <si>
    <t>Segment</t>
  </si>
  <si>
    <t>Number</t>
  </si>
  <si>
    <t>Share (%)</t>
  </si>
  <si>
    <t xml:space="preserve">  </t>
  </si>
  <si>
    <t>Table 1. Economic Impacts of Visitor Spending : Direct Effects</t>
  </si>
  <si>
    <t xml:space="preserve"> Direct Effects</t>
  </si>
  <si>
    <t>Sector/Spending category</t>
  </si>
  <si>
    <t>Average visitor spending per category</t>
  </si>
  <si>
    <t>Category</t>
  </si>
  <si>
    <t xml:space="preserve">Jobs     </t>
  </si>
  <si>
    <t>AVG per category</t>
  </si>
  <si>
    <t>All inclusive packages</t>
  </si>
  <si>
    <t>Accomodation: Hotel, lodges, B&amp;B, bushcamps,...</t>
  </si>
  <si>
    <t xml:space="preserve">Camping fees </t>
  </si>
  <si>
    <t>Meals: Restaurants, bars,...</t>
  </si>
  <si>
    <t xml:space="preserve">Groceries, </t>
  </si>
  <si>
    <t xml:space="preserve">Gas &amp; oil </t>
  </si>
  <si>
    <t xml:space="preserve">Local transportation </t>
  </si>
  <si>
    <t>Admissions &amp; fees (PA entry)</t>
  </si>
  <si>
    <t>Activities and Guided Tours (e.g. game drives)</t>
  </si>
  <si>
    <t>Souvenirs and other gifts</t>
  </si>
  <si>
    <t>Resource/Trophy Fees (purchase of resource, license, permits)</t>
  </si>
  <si>
    <t>Local dip, pack, taxidermy</t>
  </si>
  <si>
    <t>Gratuities and Tips</t>
  </si>
  <si>
    <t>Retail Trade</t>
  </si>
  <si>
    <t>Other expenses</t>
  </si>
  <si>
    <t>Wholesale Trade</t>
  </si>
  <si>
    <t>do we have number of visitors?</t>
  </si>
  <si>
    <t>Table 2.  Direct and Total Economic Impacts of Visitor Spending</t>
  </si>
  <si>
    <t xml:space="preserve">  Economic measure</t>
  </si>
  <si>
    <t>Multiplier</t>
  </si>
  <si>
    <t>Output/Captured Sales</t>
  </si>
  <si>
    <t>Personal Income</t>
  </si>
  <si>
    <t>Value Added</t>
  </si>
  <si>
    <t xml:space="preserve">Jobs </t>
  </si>
  <si>
    <t>Capture rate</t>
  </si>
  <si>
    <t>Total visitor spending is automatically calculated</t>
  </si>
  <si>
    <t>Effective spending multiplier</t>
  </si>
  <si>
    <t>CATEGORY</t>
  </si>
  <si>
    <t>Table 3.  Marginal Impacts per currency of spending, per 1,000 visit units and PA size</t>
  </si>
  <si>
    <t xml:space="preserve">change per 1,000 of </t>
  </si>
  <si>
    <t>opportunity cost of tourism per</t>
  </si>
  <si>
    <t xml:space="preserve">Direct personal income </t>
  </si>
  <si>
    <t xml:space="preserve">Direct value added </t>
  </si>
  <si>
    <t xml:space="preserve">Direct jobs </t>
  </si>
  <si>
    <t xml:space="preserve">Total personal income </t>
  </si>
  <si>
    <t xml:space="preserve">Total value added </t>
  </si>
  <si>
    <t xml:space="preserve">Total jobs </t>
  </si>
  <si>
    <t xml:space="preserve">Insert sales, value added, income and tax per dollar spent </t>
  </si>
  <si>
    <t>Table 4. Tax Impacts of Direct Sales and Income</t>
  </si>
  <si>
    <t>Sales</t>
  </si>
  <si>
    <t>Income</t>
  </si>
  <si>
    <t>Federal</t>
  </si>
  <si>
    <t xml:space="preserve"> </t>
  </si>
  <si>
    <t>State</t>
  </si>
  <si>
    <t>Local</t>
  </si>
  <si>
    <t>Multipliers used in the analysis</t>
  </si>
  <si>
    <t>Multipliers for selected tourism-related sectors</t>
  </si>
  <si>
    <t>Direct effects multipliers</t>
  </si>
  <si>
    <t>Total effects multipliers</t>
  </si>
  <si>
    <t>Sector</t>
  </si>
  <si>
    <t>Jobs / direct output</t>
  </si>
  <si>
    <t>Personal inc / direct output</t>
  </si>
  <si>
    <t>Value Added / direct output</t>
  </si>
  <si>
    <t>direct + indirect output</t>
  </si>
  <si>
    <t>Total output</t>
  </si>
  <si>
    <t>Hotels And Lodging Places</t>
  </si>
  <si>
    <t>Eating &amp; Drinking</t>
  </si>
  <si>
    <t>Amusement And Recreation</t>
  </si>
  <si>
    <t>Local transportation</t>
  </si>
  <si>
    <t>Food processing</t>
  </si>
  <si>
    <t>Apparel from purch mate</t>
  </si>
  <si>
    <t>Petroleum refining</t>
  </si>
  <si>
    <t>Sporting goods</t>
  </si>
  <si>
    <t>Manufacturing</t>
  </si>
  <si>
    <t>Wholesale trade</t>
  </si>
  <si>
    <t>Retail is average or sum of the 7 retail trade sectors</t>
  </si>
  <si>
    <t>Direct Sales</t>
  </si>
  <si>
    <t>Retail Margin</t>
  </si>
  <si>
    <t>Wholesale Margin</t>
  </si>
  <si>
    <t>Local Prod</t>
  </si>
  <si>
    <t>R Margin captured</t>
  </si>
  <si>
    <t>W  Margin</t>
  </si>
  <si>
    <t>Direct Output ("Sales Captured")</t>
  </si>
  <si>
    <t xml:space="preserve"> Direct Jobs </t>
  </si>
  <si>
    <t>Direct Personal Income</t>
  </si>
  <si>
    <t xml:space="preserve">Value Added </t>
  </si>
  <si>
    <t>Retail Margin captured</t>
  </si>
  <si>
    <t>n/a</t>
  </si>
  <si>
    <t>Wholesale margin captured</t>
  </si>
  <si>
    <t>Computation of Total Effects is automatically calculated</t>
  </si>
  <si>
    <t>Total Output</t>
  </si>
  <si>
    <t xml:space="preserve">Total Jobs </t>
  </si>
  <si>
    <t xml:space="preserve"> Personal Income</t>
  </si>
  <si>
    <t>Total Value Added</t>
  </si>
  <si>
    <t>Direct + Indirect Output</t>
  </si>
  <si>
    <t>Direct + Indirect Output Multiplier</t>
  </si>
  <si>
    <t>Tax rates</t>
  </si>
  <si>
    <t>Tax Collections</t>
  </si>
  <si>
    <t>Taxes on Spending</t>
  </si>
  <si>
    <t>Spending</t>
  </si>
  <si>
    <t>national</t>
  </si>
  <si>
    <t>state/provincial</t>
  </si>
  <si>
    <t>local</t>
  </si>
  <si>
    <t>Total Taxes on Spending</t>
  </si>
  <si>
    <t>Taxes on Direct Income</t>
  </si>
  <si>
    <t>Total Direct Taxes</t>
  </si>
  <si>
    <t>NOTES: Tax receipts are computed on direct sales and income using the tax rates</t>
  </si>
  <si>
    <t xml:space="preserve">              Tax rates are applied to direct spending and income estimated in previous tables</t>
  </si>
  <si>
    <t xml:space="preserve">              Income tax rates reflect an average tax accounting for normal deductions</t>
  </si>
  <si>
    <t>larger metro</t>
  </si>
  <si>
    <t>smaller metro</t>
  </si>
  <si>
    <t>rural</t>
  </si>
  <si>
    <t>province</t>
  </si>
  <si>
    <t>direct jobs</t>
  </si>
  <si>
    <t>direct income</t>
  </si>
  <si>
    <t>direct value added</t>
  </si>
  <si>
    <t>total jobs</t>
  </si>
  <si>
    <t>total income</t>
  </si>
  <si>
    <t>total value added</t>
  </si>
  <si>
    <t>total output</t>
  </si>
  <si>
    <t>all inclusive</t>
  </si>
  <si>
    <t>hotels and lodging</t>
  </si>
  <si>
    <t>eating and drinking</t>
  </si>
  <si>
    <t>amusement and recreation</t>
  </si>
  <si>
    <t>local transport</t>
  </si>
  <si>
    <t>food production</t>
  </si>
  <si>
    <t>apparel</t>
  </si>
  <si>
    <t>petroleum refining</t>
  </si>
  <si>
    <t>sporting goods</t>
  </si>
  <si>
    <t>manufacturing</t>
  </si>
  <si>
    <t>retail trade</t>
  </si>
  <si>
    <t>wholesale trade</t>
  </si>
  <si>
    <t xml:space="preserve">TABLE REFERENCES </t>
  </si>
  <si>
    <t>Jobs / Direct output</t>
  </si>
  <si>
    <t>Value added / direct output</t>
  </si>
  <si>
    <t>Select a country</t>
  </si>
  <si>
    <t>South Africa</t>
  </si>
  <si>
    <t>Zambia</t>
  </si>
  <si>
    <t>Brazil</t>
  </si>
  <si>
    <t>Select a Country</t>
  </si>
  <si>
    <t>indirect output</t>
  </si>
  <si>
    <t>MGM2 Generic</t>
  </si>
  <si>
    <t>Jobs/ MM sales</t>
  </si>
  <si>
    <t>Personal inc/sales</t>
  </si>
  <si>
    <t>Value Added /sales</t>
  </si>
  <si>
    <t>sales II</t>
  </si>
  <si>
    <t>JobsII/ MMsales</t>
  </si>
  <si>
    <t>IncII/ sales</t>
  </si>
  <si>
    <t>VA II/sales</t>
  </si>
  <si>
    <t>Sales I</t>
  </si>
  <si>
    <t>Accommodation</t>
  </si>
  <si>
    <t>Creative, arts and entertainment activities</t>
  </si>
  <si>
    <t>Terrestrial Transport</t>
  </si>
  <si>
    <t>Wholesale trade and retail trade, except motor vehicles</t>
  </si>
  <si>
    <t>Average</t>
  </si>
  <si>
    <t>Visits in</t>
  </si>
  <si>
    <t>Direct Personal inc / direct output</t>
  </si>
  <si>
    <t>Direct Value Added / direct output</t>
  </si>
  <si>
    <t>Total Personal inc / direct output</t>
  </si>
  <si>
    <t>Total Value added / direct output</t>
  </si>
  <si>
    <t>cost of living</t>
  </si>
  <si>
    <t>GDP/Capita</t>
  </si>
  <si>
    <t>total jobs / direct output</t>
  </si>
  <si>
    <t>local prod</t>
  </si>
  <si>
    <t>indirect</t>
  </si>
  <si>
    <t>Select a region that fits the study area the best</t>
  </si>
  <si>
    <t xml:space="preserve">for </t>
  </si>
  <si>
    <t>Step 4 - Computation of Direct Effects is automatically calculated</t>
  </si>
  <si>
    <t>Step 5 - Tax Computations: Enter Tax rates in shaded area</t>
  </si>
  <si>
    <t>Step 1: Define study area, country, and enter park information</t>
  </si>
  <si>
    <t>Step 3: Enter spending averages: On a per unit specified for each segment</t>
  </si>
  <si>
    <t>Step 2: Enter the segments and number of visitors in the region (up to 12, customizable)</t>
  </si>
  <si>
    <t>local direct income</t>
  </si>
  <si>
    <t>local direct jobs</t>
  </si>
  <si>
    <t>(in dollars)</t>
  </si>
  <si>
    <t>Optional: Enter the annual park budget for an illustration of the economic return on investment in terms of direct and total value added effects</t>
  </si>
  <si>
    <t>Park Budget</t>
  </si>
  <si>
    <t>Direct Value Added</t>
  </si>
  <si>
    <t>TOURISM ECONOMIC MODEL FOR PROTECTED AREAS</t>
  </si>
  <si>
    <t>Segment 1</t>
  </si>
  <si>
    <t>Segment 2</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</si>
</sst>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_(* \(#,##0.00\);_(* &quot;-&quot;??_);_(@_)"/>
    <numFmt numFmtId="164" formatCode="_(* #,##0_);_(* \(#,##0\);_(* &quot;-&quot;??_);_(@_)"/>
    <numFmt numFmtId="165" formatCode="&quot; &quot;* #,##0&quot; &quot;;&quot; &quot;* \(#,##0\);&quot; &quot;* &quot;-&quot;??&quot; &quot;"/>
    <numFmt numFmtId="166" formatCode="&quot; &quot;* #,##0.00&quot; &quot;;&quot; &quot;* \(#,##0.00\);&quot; &quot;* &quot;-&quot;??&quot; &quot;"/>
    <numFmt numFmtId="167" formatCode="&quot;$&quot;&quot; &quot;#,##0"/>
    <numFmt numFmtId="168" formatCode="#,##0&quot; &quot;;\(#,##0\)"/>
    <numFmt numFmtId="169" formatCode="0.0%"/>
    <numFmt numFmtId="170" formatCode="&quot;$&quot;#,##0.00"/>
    <numFmt numFmtId="171" formatCode="&quot; &quot;* #,##0.000&quot; &quot;;&quot; &quot;* \(#,##0.000\);&quot; &quot;* &quot;-&quot;??&quot; &quot;"/>
    <numFmt numFmtId="172" formatCode="&quot; &quot;* #,##0.0&quot; &quot;;&quot; &quot;* \(#,##0.0\);&quot; &quot;* &quot;-&quot;??&quot; &quot;"/>
    <numFmt numFmtId="173" formatCode="0.000"/>
    <numFmt numFmtId="174" formatCode="0.0"/>
    <numFmt numFmtId="175" formatCode="#,##0.000"/>
    <numFmt numFmtId="176" formatCode="General_)"/>
    <numFmt numFmtId="177" formatCode="&quot;$&quot;#,##0"/>
  </numFmts>
  <fonts count="35" x14ac:knownFonts="1">
    <font>
      <sz val="12"/>
      <color rgb="FF000000"/>
      <name val="Calibri"/>
    </font>
    <font>
      <sz val="11"/>
      <color theme="1"/>
      <name val="Calibri"/>
      <family val="2"/>
      <scheme val="minor"/>
    </font>
    <font>
      <sz val="11"/>
      <color theme="1"/>
      <name val="Calibri"/>
      <family val="2"/>
      <scheme val="minor"/>
    </font>
    <font>
      <sz val="10"/>
      <color rgb="FF000000"/>
      <name val="Arial"/>
    </font>
    <font>
      <b/>
      <sz val="14"/>
      <color rgb="FF000000"/>
      <name val="Arial"/>
    </font>
    <font>
      <b/>
      <sz val="18"/>
      <color rgb="FF000000"/>
      <name val="Arial"/>
    </font>
    <font>
      <sz val="12"/>
      <name val="Calibri"/>
    </font>
    <font>
      <sz val="16"/>
      <color rgb="FF000000"/>
      <name val="Arial"/>
    </font>
    <font>
      <b/>
      <sz val="10"/>
      <name val="Arial"/>
    </font>
    <font>
      <sz val="10"/>
      <color rgb="FFFF0000"/>
      <name val="Arial"/>
    </font>
    <font>
      <b/>
      <sz val="10"/>
      <color rgb="FF000000"/>
      <name val="Arial"/>
    </font>
    <font>
      <u/>
      <sz val="10"/>
      <color rgb="FF000000"/>
      <name val="Arial"/>
    </font>
    <font>
      <u/>
      <sz val="10"/>
      <color rgb="FF000000"/>
      <name val="Arial"/>
    </font>
    <font>
      <u/>
      <sz val="10"/>
      <color rgb="FF000000"/>
      <name val="Arial"/>
    </font>
    <font>
      <u/>
      <sz val="10"/>
      <color rgb="FF000000"/>
      <name val="Arial"/>
    </font>
    <font>
      <sz val="12"/>
      <color theme="1"/>
      <name val="Calibri"/>
      <family val="2"/>
    </font>
    <font>
      <sz val="10"/>
      <name val="Times New Roman"/>
      <family val="1"/>
    </font>
    <font>
      <sz val="12"/>
      <color rgb="FF000000"/>
      <name val="Calibri"/>
      <family val="2"/>
    </font>
    <font>
      <b/>
      <sz val="12"/>
      <color rgb="FF000000"/>
      <name val="Calibri"/>
      <family val="2"/>
    </font>
    <font>
      <sz val="12"/>
      <color rgb="FF000000"/>
      <name val="Calibri"/>
    </font>
    <font>
      <sz val="10"/>
      <color rgb="FF000000"/>
      <name val="Arial"/>
      <family val="2"/>
    </font>
    <font>
      <sz val="10"/>
      <color indexed="8"/>
      <name val="Arial"/>
    </font>
    <font>
      <sz val="10"/>
      <color indexed="81"/>
      <name val="Calibri"/>
    </font>
    <font>
      <sz val="10"/>
      <name val="Helv"/>
    </font>
    <font>
      <sz val="10"/>
      <color indexed="10"/>
      <name val="Helv"/>
    </font>
    <font>
      <b/>
      <sz val="14"/>
      <color indexed="10"/>
      <name val="Helv"/>
    </font>
    <font>
      <b/>
      <sz val="18"/>
      <color indexed="10"/>
      <name val="Helv"/>
    </font>
    <font>
      <sz val="10"/>
      <color indexed="8"/>
      <name val="Helv"/>
    </font>
    <font>
      <b/>
      <sz val="10"/>
      <name val="Times New Roman"/>
      <family val="1"/>
    </font>
    <font>
      <b/>
      <sz val="8"/>
      <name val="Times New Roman"/>
      <family val="1"/>
    </font>
    <font>
      <u/>
      <sz val="9.6999999999999993"/>
      <color indexed="12"/>
      <name val="Helv"/>
    </font>
    <font>
      <b/>
      <u/>
      <sz val="9.6999999999999993"/>
      <color indexed="12"/>
      <name val="Times New Roman"/>
      <family val="1"/>
    </font>
    <font>
      <sz val="8"/>
      <name val="Helv"/>
    </font>
    <font>
      <b/>
      <sz val="10"/>
      <name val="Arial"/>
      <family val="2"/>
    </font>
    <font>
      <b/>
      <sz val="10"/>
      <color rgb="FF000000"/>
      <name val="Arial"/>
      <family val="2"/>
    </font>
  </fonts>
  <fills count="12">
    <fill>
      <patternFill patternType="none"/>
    </fill>
    <fill>
      <patternFill patternType="gray125"/>
    </fill>
    <fill>
      <patternFill patternType="solid">
        <fgColor rgb="FFFFFFFF"/>
        <bgColor rgb="FFFFFFFF"/>
      </patternFill>
    </fill>
    <fill>
      <patternFill patternType="solid">
        <fgColor rgb="FFFFE598"/>
        <bgColor rgb="FFFFE598"/>
      </patternFill>
    </fill>
    <fill>
      <patternFill patternType="solid">
        <fgColor rgb="FFFFE599"/>
        <bgColor rgb="FFFFE599"/>
      </patternFill>
    </fill>
    <fill>
      <patternFill patternType="solid">
        <fgColor theme="4" tint="0.79998168889431442"/>
        <bgColor theme="4" tint="0.79998168889431442"/>
      </patternFill>
    </fill>
    <fill>
      <patternFill patternType="solid">
        <fgColor theme="7" tint="0.39997558519241921"/>
        <bgColor rgb="FFFFFFFF"/>
      </patternFill>
    </fill>
    <fill>
      <patternFill patternType="solid">
        <fgColor theme="4" tint="0.39997558519241921"/>
        <bgColor indexed="64"/>
      </patternFill>
    </fill>
    <fill>
      <patternFill patternType="solid">
        <fgColor rgb="FFFFFF00"/>
        <bgColor indexed="64"/>
      </patternFill>
    </fill>
    <fill>
      <patternFill patternType="solid">
        <fgColor indexed="43"/>
        <bgColor indexed="64"/>
      </patternFill>
    </fill>
    <fill>
      <patternFill patternType="solid">
        <fgColor indexed="9"/>
        <bgColor auto="1"/>
      </patternFill>
    </fill>
    <fill>
      <patternFill patternType="solid">
        <fgColor theme="7" tint="0.59999389629810485"/>
        <bgColor indexed="64"/>
      </patternFill>
    </fill>
  </fills>
  <borders count="5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theme="4" tint="0.39997558519241921"/>
      </left>
      <right/>
      <top style="thin">
        <color theme="4" tint="0.39997558519241921"/>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auto="1"/>
      </left>
      <right/>
      <top/>
      <bottom style="medium">
        <color auto="1"/>
      </bottom>
      <diagonal/>
    </border>
    <border>
      <left/>
      <right/>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6">
    <xf numFmtId="0" fontId="0" fillId="0" borderId="0"/>
    <xf numFmtId="43" fontId="19" fillId="0" borderId="0" applyFont="0" applyFill="0" applyBorder="0" applyAlignment="0" applyProtection="0"/>
    <xf numFmtId="9" fontId="19" fillId="0" borderId="0" applyFont="0" applyFill="0" applyBorder="0" applyAlignment="0" applyProtection="0"/>
    <xf numFmtId="0" fontId="2" fillId="0" borderId="0"/>
    <xf numFmtId="176" fontId="23" fillId="0" borderId="0"/>
    <xf numFmtId="0" fontId="30" fillId="0" borderId="0" applyNumberFormat="0" applyFill="0" applyBorder="0" applyAlignment="0" applyProtection="0">
      <alignment vertical="top"/>
      <protection locked="0"/>
    </xf>
  </cellStyleXfs>
  <cellXfs count="295">
    <xf numFmtId="0" fontId="0" fillId="0" borderId="0" xfId="0" applyFont="1" applyAlignment="1"/>
    <xf numFmtId="0" fontId="3" fillId="0" borderId="0" xfId="0" applyFont="1"/>
    <xf numFmtId="0" fontId="3" fillId="2" borderId="0" xfId="0" applyFont="1" applyFill="1" applyBorder="1"/>
    <xf numFmtId="0" fontId="4" fillId="0" borderId="0" xfId="0" applyFont="1" applyAlignment="1">
      <alignment horizontal="center"/>
    </xf>
    <xf numFmtId="0" fontId="3" fillId="3" borderId="0" xfId="0" applyFont="1" applyFill="1" applyBorder="1"/>
    <xf numFmtId="49" fontId="3" fillId="2" borderId="7" xfId="0" applyNumberFormat="1" applyFont="1" applyFill="1" applyBorder="1" applyAlignment="1">
      <alignment horizontal="left"/>
    </xf>
    <xf numFmtId="49" fontId="3" fillId="2" borderId="8" xfId="0" applyNumberFormat="1" applyFont="1" applyFill="1" applyBorder="1"/>
    <xf numFmtId="1" fontId="3" fillId="2" borderId="8" xfId="0" applyNumberFormat="1" applyFont="1" applyFill="1" applyBorder="1" applyAlignment="1">
      <alignment wrapText="1"/>
    </xf>
    <xf numFmtId="0" fontId="3" fillId="0" borderId="0" xfId="0" applyFont="1" applyAlignment="1">
      <alignment horizontal="center"/>
    </xf>
    <xf numFmtId="0" fontId="3" fillId="0" borderId="0" xfId="0" applyFont="1" applyAlignment="1">
      <alignment horizontal="right"/>
    </xf>
    <xf numFmtId="164" fontId="3" fillId="2" borderId="8" xfId="0" applyNumberFormat="1" applyFont="1" applyFill="1" applyBorder="1" applyAlignment="1">
      <alignment wrapText="1"/>
    </xf>
    <xf numFmtId="1" fontId="3" fillId="2" borderId="9" xfId="0" applyNumberFormat="1" applyFont="1" applyFill="1" applyBorder="1"/>
    <xf numFmtId="164" fontId="3" fillId="3" borderId="0" xfId="0" applyNumberFormat="1" applyFont="1" applyFill="1" applyBorder="1" applyAlignment="1"/>
    <xf numFmtId="49" fontId="3" fillId="2" borderId="10" xfId="0" applyNumberFormat="1" applyFont="1" applyFill="1" applyBorder="1"/>
    <xf numFmtId="1" fontId="3" fillId="2" borderId="8" xfId="0" applyNumberFormat="1" applyFont="1" applyFill="1" applyBorder="1"/>
    <xf numFmtId="0" fontId="3" fillId="0" borderId="0" xfId="0" applyFont="1" applyAlignment="1">
      <alignment horizontal="right"/>
    </xf>
    <xf numFmtId="0" fontId="3" fillId="4" borderId="0" xfId="0" applyFont="1" applyFill="1" applyAlignment="1"/>
    <xf numFmtId="0" fontId="3" fillId="0" borderId="0" xfId="0" applyFont="1" applyAlignment="1"/>
    <xf numFmtId="0" fontId="3" fillId="2" borderId="9" xfId="0" applyFont="1" applyFill="1" applyBorder="1"/>
    <xf numFmtId="49" fontId="3" fillId="2" borderId="0" xfId="0" applyNumberFormat="1" applyFont="1" applyFill="1" applyBorder="1"/>
    <xf numFmtId="0" fontId="8" fillId="0" borderId="0" xfId="0" applyFont="1" applyAlignment="1">
      <alignment horizontal="left"/>
    </xf>
    <xf numFmtId="49" fontId="3" fillId="2" borderId="10" xfId="0" applyNumberFormat="1" applyFont="1" applyFill="1" applyBorder="1" applyAlignment="1"/>
    <xf numFmtId="49" fontId="3" fillId="2" borderId="13" xfId="0" applyNumberFormat="1" applyFont="1" applyFill="1" applyBorder="1"/>
    <xf numFmtId="2" fontId="3" fillId="2" borderId="8" xfId="0" applyNumberFormat="1" applyFont="1" applyFill="1" applyBorder="1"/>
    <xf numFmtId="0" fontId="3" fillId="0" borderId="14" xfId="0" applyFont="1" applyBorder="1"/>
    <xf numFmtId="165" fontId="3" fillId="2" borderId="14" xfId="0" applyNumberFormat="1" applyFont="1" applyFill="1" applyBorder="1"/>
    <xf numFmtId="1" fontId="3" fillId="2" borderId="14" xfId="0" applyNumberFormat="1" applyFont="1" applyFill="1" applyBorder="1"/>
    <xf numFmtId="49" fontId="3" fillId="2" borderId="15" xfId="0" applyNumberFormat="1" applyFont="1" applyFill="1" applyBorder="1" applyAlignment="1"/>
    <xf numFmtId="49" fontId="3" fillId="2" borderId="16" xfId="0" applyNumberFormat="1" applyFont="1" applyFill="1" applyBorder="1"/>
    <xf numFmtId="0" fontId="3" fillId="0" borderId="17" xfId="0" applyFont="1" applyBorder="1"/>
    <xf numFmtId="0" fontId="3" fillId="3" borderId="8" xfId="0" applyFont="1" applyFill="1" applyBorder="1"/>
    <xf numFmtId="166" fontId="3" fillId="3" borderId="8" xfId="0" applyNumberFormat="1" applyFont="1" applyFill="1" applyBorder="1"/>
    <xf numFmtId="1" fontId="3" fillId="3" borderId="8" xfId="0" applyNumberFormat="1" applyFont="1" applyFill="1" applyBorder="1"/>
    <xf numFmtId="0" fontId="3" fillId="0" borderId="9" xfId="0" applyFont="1" applyBorder="1"/>
    <xf numFmtId="0" fontId="3" fillId="2" borderId="20" xfId="0" applyFont="1" applyFill="1" applyBorder="1"/>
    <xf numFmtId="164" fontId="3" fillId="3" borderId="8" xfId="0" applyNumberFormat="1" applyFont="1" applyFill="1" applyBorder="1"/>
    <xf numFmtId="2" fontId="3" fillId="2" borderId="0" xfId="0" applyNumberFormat="1" applyFont="1" applyFill="1" applyBorder="1" applyAlignment="1">
      <alignment horizontal="right"/>
    </xf>
    <xf numFmtId="0" fontId="3" fillId="2" borderId="0" xfId="0" applyFont="1" applyFill="1" applyBorder="1" applyAlignment="1">
      <alignment horizontal="right"/>
    </xf>
    <xf numFmtId="164" fontId="3" fillId="0" borderId="9" xfId="0" applyNumberFormat="1" applyFont="1" applyBorder="1"/>
    <xf numFmtId="49" fontId="9" fillId="2" borderId="0" xfId="0" applyNumberFormat="1" applyFont="1" applyFill="1" applyBorder="1"/>
    <xf numFmtId="49" fontId="3" fillId="2" borderId="15" xfId="0" applyNumberFormat="1" applyFont="1" applyFill="1" applyBorder="1"/>
    <xf numFmtId="49" fontId="3" fillId="2" borderId="0" xfId="0" applyNumberFormat="1" applyFont="1" applyFill="1" applyBorder="1" applyAlignment="1"/>
    <xf numFmtId="1" fontId="3" fillId="0" borderId="16" xfId="0" applyNumberFormat="1" applyFont="1" applyBorder="1"/>
    <xf numFmtId="49" fontId="10" fillId="2" borderId="0" xfId="0" applyNumberFormat="1" applyFont="1" applyFill="1" applyBorder="1"/>
    <xf numFmtId="1" fontId="3" fillId="2" borderId="0" xfId="0" applyNumberFormat="1" applyFont="1" applyFill="1" applyBorder="1"/>
    <xf numFmtId="1" fontId="10" fillId="2" borderId="1" xfId="0" applyNumberFormat="1" applyFont="1" applyFill="1" applyBorder="1"/>
    <xf numFmtId="1" fontId="3" fillId="0" borderId="20" xfId="0" applyNumberFormat="1" applyFont="1" applyBorder="1"/>
    <xf numFmtId="166" fontId="3" fillId="2" borderId="0" xfId="0" applyNumberFormat="1" applyFont="1" applyFill="1" applyBorder="1"/>
    <xf numFmtId="1" fontId="3" fillId="2" borderId="0" xfId="0" applyNumberFormat="1" applyFont="1" applyFill="1" applyBorder="1"/>
    <xf numFmtId="49" fontId="10" fillId="2" borderId="23" xfId="0" applyNumberFormat="1" applyFont="1" applyFill="1" applyBorder="1"/>
    <xf numFmtId="0" fontId="3" fillId="2" borderId="14" xfId="0" applyFont="1" applyFill="1" applyBorder="1"/>
    <xf numFmtId="49" fontId="10" fillId="2" borderId="0" xfId="0" applyNumberFormat="1" applyFont="1" applyFill="1" applyBorder="1" applyAlignment="1">
      <alignment horizontal="right" wrapText="1"/>
    </xf>
    <xf numFmtId="49" fontId="3" fillId="2" borderId="15" xfId="0" applyNumberFormat="1" applyFont="1" applyFill="1" applyBorder="1" applyAlignment="1">
      <alignment horizontal="left"/>
    </xf>
    <xf numFmtId="49" fontId="10" fillId="2" borderId="24" xfId="0" applyNumberFormat="1" applyFont="1" applyFill="1" applyBorder="1" applyAlignment="1">
      <alignment horizontal="right" wrapText="1"/>
    </xf>
    <xf numFmtId="0" fontId="3" fillId="2" borderId="16" xfId="0" applyFont="1" applyFill="1" applyBorder="1"/>
    <xf numFmtId="0" fontId="3" fillId="2" borderId="10" xfId="0" applyFont="1" applyFill="1" applyBorder="1"/>
    <xf numFmtId="166" fontId="3" fillId="2" borderId="16" xfId="0" applyNumberFormat="1" applyFont="1" applyFill="1" applyBorder="1"/>
    <xf numFmtId="165" fontId="3" fillId="2" borderId="8" xfId="0" applyNumberFormat="1" applyFont="1" applyFill="1" applyBorder="1"/>
    <xf numFmtId="49" fontId="3" fillId="2" borderId="20" xfId="0" applyNumberFormat="1" applyFont="1" applyFill="1" applyBorder="1"/>
    <xf numFmtId="165" fontId="3" fillId="2" borderId="9" xfId="0" applyNumberFormat="1" applyFont="1" applyFill="1" applyBorder="1"/>
    <xf numFmtId="0" fontId="3" fillId="2" borderId="7" xfId="0" applyFont="1" applyFill="1" applyBorder="1"/>
    <xf numFmtId="2" fontId="3" fillId="3" borderId="25" xfId="0" applyNumberFormat="1" applyFont="1" applyFill="1" applyBorder="1"/>
    <xf numFmtId="2" fontId="3" fillId="2" borderId="25" xfId="0" applyNumberFormat="1" applyFont="1" applyFill="1" applyBorder="1"/>
    <xf numFmtId="166" fontId="3" fillId="2" borderId="25" xfId="0" applyNumberFormat="1" applyFont="1" applyFill="1" applyBorder="1"/>
    <xf numFmtId="2" fontId="3" fillId="2" borderId="26" xfId="0" applyNumberFormat="1" applyFont="1" applyFill="1" applyBorder="1"/>
    <xf numFmtId="2" fontId="3" fillId="3" borderId="8" xfId="0" applyNumberFormat="1" applyFont="1" applyFill="1" applyBorder="1"/>
    <xf numFmtId="166" fontId="3" fillId="2" borderId="8" xfId="0" applyNumberFormat="1" applyFont="1" applyFill="1" applyBorder="1"/>
    <xf numFmtId="2" fontId="3" fillId="2" borderId="9" xfId="0" applyNumberFormat="1" applyFont="1" applyFill="1" applyBorder="1"/>
    <xf numFmtId="49" fontId="3" fillId="2" borderId="27" xfId="0" applyNumberFormat="1" applyFont="1" applyFill="1" applyBorder="1"/>
    <xf numFmtId="2" fontId="3" fillId="3" borderId="28" xfId="0" applyNumberFormat="1" applyFont="1" applyFill="1" applyBorder="1"/>
    <xf numFmtId="2" fontId="3" fillId="2" borderId="28" xfId="0" applyNumberFormat="1" applyFont="1" applyFill="1" applyBorder="1"/>
    <xf numFmtId="0" fontId="0" fillId="0" borderId="0" xfId="0" applyFont="1"/>
    <xf numFmtId="166" fontId="3" fillId="2" borderId="28" xfId="0" applyNumberFormat="1" applyFont="1" applyFill="1" applyBorder="1"/>
    <xf numFmtId="165" fontId="3" fillId="2" borderId="16" xfId="0" applyNumberFormat="1" applyFont="1" applyFill="1" applyBorder="1"/>
    <xf numFmtId="165" fontId="3" fillId="2" borderId="20" xfId="0" applyNumberFormat="1" applyFont="1" applyFill="1" applyBorder="1"/>
    <xf numFmtId="49" fontId="10" fillId="2" borderId="1" xfId="0" applyNumberFormat="1" applyFont="1" applyFill="1" applyBorder="1" applyAlignment="1">
      <alignment horizontal="left"/>
    </xf>
    <xf numFmtId="49" fontId="10" fillId="2" borderId="2" xfId="0" applyNumberFormat="1" applyFont="1" applyFill="1" applyBorder="1" applyAlignment="1">
      <alignment horizontal="right" wrapText="1"/>
    </xf>
    <xf numFmtId="49" fontId="10" fillId="2" borderId="2" xfId="0" applyNumberFormat="1" applyFont="1" applyFill="1" applyBorder="1" applyAlignment="1">
      <alignment horizontal="right"/>
    </xf>
    <xf numFmtId="49" fontId="10" fillId="2" borderId="3" xfId="0" applyNumberFormat="1" applyFont="1" applyFill="1" applyBorder="1" applyAlignment="1">
      <alignment horizontal="right" wrapText="1"/>
    </xf>
    <xf numFmtId="49" fontId="3" fillId="2" borderId="10" xfId="0" applyNumberFormat="1" applyFont="1" applyFill="1" applyBorder="1" applyAlignment="1">
      <alignment horizontal="left"/>
    </xf>
    <xf numFmtId="167" fontId="3" fillId="2" borderId="8" xfId="0" applyNumberFormat="1" applyFont="1" applyFill="1" applyBorder="1" applyAlignment="1">
      <alignment horizontal="right"/>
    </xf>
    <xf numFmtId="167" fontId="3" fillId="2" borderId="9" xfId="0" applyNumberFormat="1" applyFont="1" applyFill="1" applyBorder="1" applyAlignment="1">
      <alignment horizontal="right"/>
    </xf>
    <xf numFmtId="49" fontId="3" fillId="2" borderId="10" xfId="0" applyNumberFormat="1" applyFont="1" applyFill="1" applyBorder="1" applyAlignment="1">
      <alignment horizontal="left"/>
    </xf>
    <xf numFmtId="168" fontId="3" fillId="2" borderId="8" xfId="0" applyNumberFormat="1" applyFont="1" applyFill="1" applyBorder="1"/>
    <xf numFmtId="2" fontId="3" fillId="2" borderId="29" xfId="0" applyNumberFormat="1" applyFont="1" applyFill="1" applyBorder="1"/>
    <xf numFmtId="168" fontId="3" fillId="2" borderId="9" xfId="0" applyNumberFormat="1" applyFont="1" applyFill="1" applyBorder="1"/>
    <xf numFmtId="49" fontId="3" fillId="2" borderId="30" xfId="0" applyNumberFormat="1" applyFont="1" applyFill="1" applyBorder="1" applyAlignment="1">
      <alignment horizontal="left"/>
    </xf>
    <xf numFmtId="1" fontId="3" fillId="2" borderId="23" xfId="0" applyNumberFormat="1" applyFont="1" applyFill="1" applyBorder="1"/>
    <xf numFmtId="1" fontId="3" fillId="2" borderId="24" xfId="0" applyNumberFormat="1" applyFont="1" applyFill="1" applyBorder="1"/>
    <xf numFmtId="2" fontId="3" fillId="2" borderId="31" xfId="0" applyNumberFormat="1" applyFont="1" applyFill="1" applyBorder="1"/>
    <xf numFmtId="3" fontId="3" fillId="2" borderId="8" xfId="0" applyNumberFormat="1" applyFont="1" applyFill="1" applyBorder="1" applyAlignment="1">
      <alignment horizontal="right"/>
    </xf>
    <xf numFmtId="43" fontId="3" fillId="2" borderId="31" xfId="0" applyNumberFormat="1" applyFont="1" applyFill="1" applyBorder="1"/>
    <xf numFmtId="0" fontId="3" fillId="2" borderId="24" xfId="0" applyFont="1" applyFill="1" applyBorder="1"/>
    <xf numFmtId="2" fontId="3" fillId="2" borderId="32" xfId="0" applyNumberFormat="1" applyFont="1" applyFill="1" applyBorder="1"/>
    <xf numFmtId="169" fontId="3" fillId="2" borderId="8" xfId="0" applyNumberFormat="1" applyFont="1" applyFill="1" applyBorder="1"/>
    <xf numFmtId="0" fontId="10" fillId="0" borderId="0" xfId="0" applyFont="1"/>
    <xf numFmtId="1" fontId="3" fillId="2" borderId="16" xfId="0" applyNumberFormat="1" applyFont="1" applyFill="1" applyBorder="1"/>
    <xf numFmtId="1" fontId="3" fillId="2" borderId="33" xfId="0" applyNumberFormat="1" applyFont="1" applyFill="1" applyBorder="1"/>
    <xf numFmtId="49" fontId="10" fillId="2" borderId="0" xfId="0" applyNumberFormat="1" applyFont="1" applyFill="1" applyBorder="1" applyAlignment="1"/>
    <xf numFmtId="0" fontId="3" fillId="0" borderId="20" xfId="0" applyFont="1" applyBorder="1"/>
    <xf numFmtId="165" fontId="3" fillId="2" borderId="25" xfId="0" applyNumberFormat="1" applyFont="1" applyFill="1" applyBorder="1"/>
    <xf numFmtId="49" fontId="3" fillId="2" borderId="2" xfId="0" applyNumberFormat="1" applyFont="1" applyFill="1" applyBorder="1" applyAlignment="1">
      <alignment wrapText="1"/>
    </xf>
    <xf numFmtId="49" fontId="3" fillId="2" borderId="3" xfId="0" applyNumberFormat="1" applyFont="1" applyFill="1" applyBorder="1" applyAlignment="1">
      <alignment wrapText="1"/>
    </xf>
    <xf numFmtId="165" fontId="3" fillId="2" borderId="26" xfId="0" applyNumberFormat="1" applyFont="1" applyFill="1" applyBorder="1"/>
    <xf numFmtId="1" fontId="10" fillId="2" borderId="23" xfId="0" applyNumberFormat="1" applyFont="1" applyFill="1" applyBorder="1"/>
    <xf numFmtId="2" fontId="3" fillId="2" borderId="34" xfId="0" applyNumberFormat="1" applyFont="1" applyFill="1" applyBorder="1" applyAlignment="1">
      <alignment wrapText="1"/>
    </xf>
    <xf numFmtId="2" fontId="3" fillId="2" borderId="24" xfId="0" applyNumberFormat="1" applyFont="1" applyFill="1" applyBorder="1" applyAlignment="1">
      <alignment horizontal="center" wrapText="1"/>
    </xf>
    <xf numFmtId="170" fontId="3" fillId="2" borderId="9" xfId="0" applyNumberFormat="1" applyFont="1" applyFill="1" applyBorder="1" applyAlignment="1">
      <alignment horizontal="right"/>
    </xf>
    <xf numFmtId="171" fontId="3" fillId="2" borderId="8" xfId="0" applyNumberFormat="1" applyFont="1" applyFill="1" applyBorder="1"/>
    <xf numFmtId="172" fontId="3" fillId="2" borderId="8" xfId="0" applyNumberFormat="1" applyFont="1" applyFill="1" applyBorder="1"/>
    <xf numFmtId="173" fontId="3" fillId="2" borderId="9" xfId="0" applyNumberFormat="1" applyFont="1" applyFill="1" applyBorder="1"/>
    <xf numFmtId="171" fontId="3" fillId="2" borderId="16" xfId="0" applyNumberFormat="1" applyFont="1" applyFill="1" applyBorder="1"/>
    <xf numFmtId="172" fontId="3" fillId="2" borderId="16" xfId="0" applyNumberFormat="1" applyFont="1" applyFill="1" applyBorder="1"/>
    <xf numFmtId="173" fontId="3" fillId="2" borderId="20" xfId="0" applyNumberFormat="1" applyFont="1" applyFill="1" applyBorder="1"/>
    <xf numFmtId="0" fontId="3" fillId="2" borderId="0" xfId="0" applyFont="1" applyFill="1" applyBorder="1" applyAlignment="1"/>
    <xf numFmtId="49" fontId="10" fillId="2" borderId="1" xfId="0" applyNumberFormat="1" applyFont="1" applyFill="1" applyBorder="1"/>
    <xf numFmtId="1" fontId="3" fillId="2" borderId="2" xfId="0" applyNumberFormat="1" applyFont="1" applyFill="1" applyBorder="1"/>
    <xf numFmtId="0" fontId="3" fillId="2" borderId="3" xfId="0" applyFont="1" applyFill="1" applyBorder="1" applyAlignment="1"/>
    <xf numFmtId="165" fontId="3" fillId="2" borderId="28" xfId="0" applyNumberFormat="1" applyFont="1" applyFill="1" applyBorder="1"/>
    <xf numFmtId="49" fontId="3" fillId="2" borderId="0" xfId="0" applyNumberFormat="1" applyFont="1" applyFill="1" applyBorder="1" applyAlignment="1">
      <alignment horizontal="right"/>
    </xf>
    <xf numFmtId="49" fontId="3" fillId="2" borderId="24" xfId="0" applyNumberFormat="1" applyFont="1" applyFill="1" applyBorder="1" applyAlignment="1">
      <alignment horizontal="right"/>
    </xf>
    <xf numFmtId="165" fontId="3" fillId="2" borderId="29" xfId="0" applyNumberFormat="1" applyFont="1" applyFill="1" applyBorder="1"/>
    <xf numFmtId="165" fontId="3" fillId="2" borderId="31" xfId="0" applyNumberFormat="1" applyFont="1" applyFill="1" applyBorder="1"/>
    <xf numFmtId="165" fontId="3" fillId="2" borderId="32" xfId="0" applyNumberFormat="1" applyFont="1" applyFill="1" applyBorder="1"/>
    <xf numFmtId="165" fontId="3" fillId="0" borderId="0" xfId="0" applyNumberFormat="1" applyFont="1"/>
    <xf numFmtId="0" fontId="3" fillId="2" borderId="0" xfId="0" applyFont="1" applyFill="1" applyBorder="1" applyAlignment="1">
      <alignment horizontal="left"/>
    </xf>
    <xf numFmtId="0" fontId="10" fillId="0" borderId="0" xfId="0" applyFont="1" applyAlignment="1"/>
    <xf numFmtId="0" fontId="10" fillId="2" borderId="0" xfId="0" applyFont="1" applyFill="1" applyBorder="1"/>
    <xf numFmtId="0" fontId="10" fillId="2" borderId="13" xfId="0" applyFont="1" applyFill="1" applyBorder="1"/>
    <xf numFmtId="0" fontId="3" fillId="2" borderId="0" xfId="0" applyFont="1" applyFill="1" applyBorder="1" applyAlignment="1">
      <alignment horizontal="center"/>
    </xf>
    <xf numFmtId="49" fontId="3" fillId="2" borderId="39" xfId="0" applyNumberFormat="1" applyFont="1" applyFill="1" applyBorder="1"/>
    <xf numFmtId="49" fontId="3" fillId="2" borderId="40" xfId="0" applyNumberFormat="1" applyFont="1" applyFill="1" applyBorder="1" applyAlignment="1">
      <alignment horizontal="right" wrapText="1"/>
    </xf>
    <xf numFmtId="49" fontId="3" fillId="2" borderId="40" xfId="0" applyNumberFormat="1" applyFont="1" applyFill="1" applyBorder="1" applyAlignment="1">
      <alignment wrapText="1"/>
    </xf>
    <xf numFmtId="0" fontId="3" fillId="2" borderId="13" xfId="0" applyFont="1" applyFill="1" applyBorder="1"/>
    <xf numFmtId="165" fontId="3" fillId="2" borderId="0" xfId="0" applyNumberFormat="1" applyFont="1" applyFill="1" applyBorder="1"/>
    <xf numFmtId="43" fontId="3" fillId="2" borderId="0" xfId="0" applyNumberFormat="1" applyFont="1" applyFill="1" applyBorder="1"/>
    <xf numFmtId="169" fontId="9" fillId="2" borderId="0" xfId="0" applyNumberFormat="1" applyFont="1" applyFill="1" applyBorder="1"/>
    <xf numFmtId="49" fontId="3" fillId="2" borderId="4" xfId="0" applyNumberFormat="1" applyFont="1" applyFill="1" applyBorder="1"/>
    <xf numFmtId="0" fontId="3" fillId="2" borderId="23" xfId="0" applyFont="1" applyFill="1" applyBorder="1"/>
    <xf numFmtId="49" fontId="3" fillId="2" borderId="0" xfId="0" applyNumberFormat="1" applyFont="1" applyFill="1" applyBorder="1" applyAlignment="1">
      <alignment wrapText="1"/>
    </xf>
    <xf numFmtId="49" fontId="3" fillId="2" borderId="0" xfId="0" applyNumberFormat="1" applyFont="1" applyFill="1" applyBorder="1" applyAlignment="1">
      <alignment horizontal="right" wrapText="1"/>
    </xf>
    <xf numFmtId="49" fontId="3" fillId="2" borderId="0" xfId="0" applyNumberFormat="1" applyFont="1" applyFill="1" applyBorder="1" applyAlignment="1">
      <alignment wrapText="1"/>
    </xf>
    <xf numFmtId="49" fontId="3" fillId="2" borderId="24" xfId="0" applyNumberFormat="1" applyFont="1" applyFill="1" applyBorder="1" applyAlignment="1">
      <alignment wrapText="1"/>
    </xf>
    <xf numFmtId="49" fontId="3" fillId="2" borderId="14" xfId="0" applyNumberFormat="1" applyFont="1" applyFill="1" applyBorder="1" applyAlignment="1">
      <alignment horizontal="right" wrapText="1"/>
    </xf>
    <xf numFmtId="165" fontId="3" fillId="2" borderId="17" xfId="0" applyNumberFormat="1" applyFont="1" applyFill="1" applyBorder="1"/>
    <xf numFmtId="9" fontId="3" fillId="2" borderId="8" xfId="0" applyNumberFormat="1" applyFont="1" applyFill="1" applyBorder="1"/>
    <xf numFmtId="169" fontId="9" fillId="3" borderId="8" xfId="0" applyNumberFormat="1" applyFont="1" applyFill="1" applyBorder="1"/>
    <xf numFmtId="169" fontId="9" fillId="0" borderId="8" xfId="0" applyNumberFormat="1" applyFont="1" applyBorder="1"/>
    <xf numFmtId="165" fontId="3" fillId="2" borderId="8" xfId="0" applyNumberFormat="1" applyFont="1" applyFill="1" applyBorder="1" applyAlignment="1">
      <alignment horizontal="center"/>
    </xf>
    <xf numFmtId="0" fontId="11" fillId="2" borderId="8" xfId="0" applyFont="1" applyFill="1" applyBorder="1"/>
    <xf numFmtId="165" fontId="12" fillId="2" borderId="8" xfId="0" applyNumberFormat="1" applyFont="1" applyFill="1" applyBorder="1"/>
    <xf numFmtId="49" fontId="13" fillId="2" borderId="10" xfId="0" applyNumberFormat="1" applyFont="1" applyFill="1" applyBorder="1"/>
    <xf numFmtId="49" fontId="3" fillId="2" borderId="25" xfId="0" applyNumberFormat="1" applyFont="1" applyFill="1" applyBorder="1"/>
    <xf numFmtId="169" fontId="3" fillId="2" borderId="25" xfId="0" applyNumberFormat="1" applyFont="1" applyFill="1" applyBorder="1"/>
    <xf numFmtId="0" fontId="3" fillId="2" borderId="39" xfId="0" applyFont="1" applyFill="1" applyBorder="1"/>
    <xf numFmtId="49" fontId="3" fillId="2" borderId="40" xfId="0" applyNumberFormat="1" applyFont="1" applyFill="1" applyBorder="1" applyAlignment="1">
      <alignment wrapText="1"/>
    </xf>
    <xf numFmtId="49" fontId="3" fillId="2" borderId="40" xfId="0" applyNumberFormat="1" applyFont="1" applyFill="1" applyBorder="1" applyAlignment="1">
      <alignment horizontal="right" wrapText="1"/>
    </xf>
    <xf numFmtId="49" fontId="3" fillId="2" borderId="33" xfId="0" applyNumberFormat="1" applyFont="1" applyFill="1" applyBorder="1" applyAlignment="1">
      <alignment horizontal="right" wrapText="1"/>
    </xf>
    <xf numFmtId="172" fontId="3" fillId="2" borderId="14" xfId="0" applyNumberFormat="1" applyFont="1" applyFill="1" applyBorder="1"/>
    <xf numFmtId="2" fontId="10" fillId="2" borderId="0" xfId="0" applyNumberFormat="1" applyFont="1" applyFill="1" applyBorder="1"/>
    <xf numFmtId="166" fontId="10" fillId="2" borderId="0" xfId="0" applyNumberFormat="1" applyFont="1" applyFill="1" applyBorder="1"/>
    <xf numFmtId="174" fontId="3" fillId="2" borderId="0" xfId="0" applyNumberFormat="1" applyFont="1" applyFill="1" applyBorder="1"/>
    <xf numFmtId="49" fontId="3" fillId="2" borderId="25" xfId="0" applyNumberFormat="1" applyFont="1" applyFill="1" applyBorder="1" applyAlignment="1"/>
    <xf numFmtId="0" fontId="9" fillId="2" borderId="0" xfId="0" applyFont="1" applyFill="1" applyBorder="1"/>
    <xf numFmtId="0" fontId="3" fillId="2" borderId="35" xfId="0" applyFont="1" applyFill="1" applyBorder="1"/>
    <xf numFmtId="0" fontId="3" fillId="2" borderId="36" xfId="0" applyFont="1" applyFill="1" applyBorder="1"/>
    <xf numFmtId="0" fontId="3" fillId="2" borderId="38" xfId="0" applyFont="1" applyFill="1" applyBorder="1"/>
    <xf numFmtId="0" fontId="3" fillId="0" borderId="23" xfId="0" applyFont="1" applyBorder="1"/>
    <xf numFmtId="49" fontId="3" fillId="2" borderId="40" xfId="0" applyNumberFormat="1" applyFont="1" applyFill="1" applyBorder="1"/>
    <xf numFmtId="49" fontId="3" fillId="2" borderId="40" xfId="0" applyNumberFormat="1" applyFont="1" applyFill="1" applyBorder="1" applyAlignment="1">
      <alignment horizontal="right"/>
    </xf>
    <xf numFmtId="49" fontId="3" fillId="2" borderId="40" xfId="0" applyNumberFormat="1" applyFont="1" applyFill="1" applyBorder="1" applyAlignment="1">
      <alignment horizontal="right"/>
    </xf>
    <xf numFmtId="49" fontId="3" fillId="2" borderId="33" xfId="0" applyNumberFormat="1" applyFont="1" applyFill="1" applyBorder="1" applyAlignment="1">
      <alignment horizontal="right"/>
    </xf>
    <xf numFmtId="49" fontId="3" fillId="3" borderId="14" xfId="0" applyNumberFormat="1" applyFont="1" applyFill="1" applyBorder="1" applyAlignment="1">
      <alignment horizontal="right"/>
    </xf>
    <xf numFmtId="9" fontId="3" fillId="3" borderId="8" xfId="0" applyNumberFormat="1" applyFont="1" applyFill="1" applyBorder="1"/>
    <xf numFmtId="9" fontId="3" fillId="2" borderId="16" xfId="0" applyNumberFormat="1" applyFont="1" applyFill="1" applyBorder="1"/>
    <xf numFmtId="49" fontId="3" fillId="2" borderId="30" xfId="0" applyNumberFormat="1" applyFont="1" applyFill="1" applyBorder="1"/>
    <xf numFmtId="9" fontId="3" fillId="3" borderId="31" xfId="0" applyNumberFormat="1" applyFont="1" applyFill="1" applyBorder="1"/>
    <xf numFmtId="169" fontId="3" fillId="3" borderId="31" xfId="0" applyNumberFormat="1" applyFont="1" applyFill="1" applyBorder="1"/>
    <xf numFmtId="0" fontId="3" fillId="2" borderId="31" xfId="0" applyFont="1" applyFill="1" applyBorder="1"/>
    <xf numFmtId="2" fontId="16" fillId="0" borderId="0" xfId="0" applyNumberFormat="1" applyFont="1" applyBorder="1" applyAlignment="1">
      <alignment horizontal="right" wrapText="1"/>
    </xf>
    <xf numFmtId="2" fontId="16" fillId="0" borderId="0" xfId="0" applyNumberFormat="1" applyFont="1"/>
    <xf numFmtId="43" fontId="16" fillId="0" borderId="0" xfId="0" applyNumberFormat="1" applyFont="1"/>
    <xf numFmtId="2" fontId="16" fillId="0" borderId="0" xfId="0" applyNumberFormat="1" applyFont="1" applyBorder="1"/>
    <xf numFmtId="0" fontId="15" fillId="0" borderId="41" xfId="0" applyFont="1" applyBorder="1" applyAlignment="1"/>
    <xf numFmtId="0" fontId="15" fillId="5" borderId="41" xfId="0" applyFont="1" applyFill="1" applyBorder="1" applyAlignment="1"/>
    <xf numFmtId="0" fontId="15" fillId="5" borderId="42" xfId="0" applyFont="1" applyFill="1" applyBorder="1" applyAlignment="1"/>
    <xf numFmtId="0" fontId="15" fillId="5" borderId="43" xfId="0" applyFont="1" applyFill="1" applyBorder="1" applyAlignment="1"/>
    <xf numFmtId="2" fontId="0" fillId="0" borderId="0" xfId="0" applyNumberFormat="1" applyFont="1" applyAlignment="1"/>
    <xf numFmtId="0" fontId="17" fillId="0" borderId="0" xfId="0" applyNumberFormat="1" applyFont="1" applyAlignment="1"/>
    <xf numFmtId="2" fontId="3" fillId="2" borderId="14" xfId="0" applyNumberFormat="1" applyFont="1" applyFill="1" applyBorder="1" applyAlignment="1"/>
    <xf numFmtId="0" fontId="0" fillId="7" borderId="0" xfId="0" applyFont="1" applyFill="1" applyAlignment="1"/>
    <xf numFmtId="0" fontId="18" fillId="0" borderId="0" xfId="0" applyFont="1" applyAlignment="1"/>
    <xf numFmtId="0" fontId="0" fillId="0" borderId="0" xfId="0" applyFont="1" applyAlignment="1"/>
    <xf numFmtId="0" fontId="0" fillId="0" borderId="0" xfId="0" applyFont="1" applyAlignment="1">
      <alignment horizontal="right"/>
    </xf>
    <xf numFmtId="0" fontId="17" fillId="0" borderId="0" xfId="0" applyFont="1" applyAlignment="1"/>
    <xf numFmtId="0" fontId="17" fillId="7" borderId="0" xfId="0" applyFont="1" applyFill="1" applyAlignment="1"/>
    <xf numFmtId="49" fontId="20" fillId="2" borderId="40" xfId="0" applyNumberFormat="1" applyFont="1" applyFill="1" applyBorder="1" applyAlignment="1">
      <alignment horizontal="right" wrapText="1"/>
    </xf>
    <xf numFmtId="49" fontId="20" fillId="2" borderId="33" xfId="0" applyNumberFormat="1" applyFont="1" applyFill="1" applyBorder="1" applyAlignment="1">
      <alignment horizontal="right"/>
    </xf>
    <xf numFmtId="9" fontId="16" fillId="0" borderId="0" xfId="2" applyFont="1" applyFill="1"/>
    <xf numFmtId="9" fontId="16" fillId="0" borderId="0" xfId="2" applyFont="1" applyBorder="1"/>
    <xf numFmtId="9" fontId="16" fillId="9" borderId="0" xfId="2" applyFont="1" applyFill="1"/>
    <xf numFmtId="9" fontId="16" fillId="0" borderId="0" xfId="2" applyFont="1"/>
    <xf numFmtId="9" fontId="16" fillId="0" borderId="0" xfId="2" applyFont="1" applyFill="1" applyBorder="1"/>
    <xf numFmtId="175" fontId="0" fillId="0" borderId="0" xfId="0" applyNumberFormat="1"/>
    <xf numFmtId="9" fontId="0" fillId="0" borderId="0" xfId="2" applyFont="1"/>
    <xf numFmtId="49" fontId="21" fillId="10" borderId="44" xfId="0" applyNumberFormat="1" applyFont="1" applyFill="1" applyBorder="1" applyAlignment="1"/>
    <xf numFmtId="49" fontId="21" fillId="10" borderId="45" xfId="0" applyNumberFormat="1" applyFont="1" applyFill="1" applyBorder="1" applyAlignment="1">
      <alignment horizontal="right" wrapText="1"/>
    </xf>
    <xf numFmtId="49" fontId="21" fillId="10" borderId="45" xfId="0" applyNumberFormat="1" applyFont="1" applyFill="1" applyBorder="1" applyAlignment="1">
      <alignment horizontal="right"/>
    </xf>
    <xf numFmtId="49" fontId="21" fillId="10" borderId="45" xfId="0" applyNumberFormat="1" applyFont="1" applyFill="1" applyBorder="1" applyAlignment="1">
      <alignment wrapText="1"/>
    </xf>
    <xf numFmtId="49" fontId="21" fillId="10" borderId="46" xfId="0" applyNumberFormat="1" applyFont="1" applyFill="1" applyBorder="1" applyAlignment="1">
      <alignment horizontal="right"/>
    </xf>
    <xf numFmtId="49" fontId="21" fillId="10" borderId="47" xfId="0" applyNumberFormat="1" applyFont="1" applyFill="1" applyBorder="1" applyAlignment="1"/>
    <xf numFmtId="2" fontId="21" fillId="10" borderId="48" xfId="0" applyNumberFormat="1" applyFont="1" applyFill="1" applyBorder="1" applyAlignment="1"/>
    <xf numFmtId="166" fontId="21" fillId="10" borderId="48" xfId="0" applyNumberFormat="1" applyFont="1" applyFill="1" applyBorder="1" applyAlignment="1"/>
    <xf numFmtId="49" fontId="21" fillId="10" borderId="49" xfId="0" applyNumberFormat="1" applyFont="1" applyFill="1" applyBorder="1" applyAlignment="1"/>
    <xf numFmtId="2" fontId="21" fillId="10" borderId="50" xfId="0" applyNumberFormat="1" applyFont="1" applyFill="1" applyBorder="1" applyAlignment="1"/>
    <xf numFmtId="2" fontId="21" fillId="10" borderId="51" xfId="0" applyNumberFormat="1" applyFont="1" applyFill="1" applyBorder="1" applyAlignment="1"/>
    <xf numFmtId="2" fontId="16" fillId="8" borderId="0" xfId="0" applyNumberFormat="1" applyFont="1" applyFill="1" applyBorder="1" applyAlignment="1">
      <alignment horizontal="right" wrapText="1"/>
    </xf>
    <xf numFmtId="2" fontId="16" fillId="8" borderId="0" xfId="0" applyNumberFormat="1" applyFont="1" applyFill="1"/>
    <xf numFmtId="2" fontId="16" fillId="8" borderId="0" xfId="0" applyNumberFormat="1" applyFont="1" applyFill="1" applyBorder="1"/>
    <xf numFmtId="164" fontId="3" fillId="2" borderId="0" xfId="1" applyNumberFormat="1" applyFont="1" applyFill="1" applyBorder="1" applyAlignment="1">
      <alignment horizontal="right"/>
    </xf>
    <xf numFmtId="0" fontId="3" fillId="0" borderId="25" xfId="0" applyFont="1" applyBorder="1"/>
    <xf numFmtId="0" fontId="3" fillId="0" borderId="45" xfId="0" applyFont="1" applyFill="1" applyBorder="1"/>
    <xf numFmtId="43" fontId="2" fillId="0" borderId="0" xfId="1" applyFont="1"/>
    <xf numFmtId="43" fontId="0" fillId="0" borderId="0" xfId="1" applyFont="1" applyAlignment="1"/>
    <xf numFmtId="164" fontId="0" fillId="0" borderId="0" xfId="1" applyNumberFormat="1" applyFont="1" applyAlignment="1"/>
    <xf numFmtId="43" fontId="0" fillId="0" borderId="0" xfId="0" applyNumberFormat="1" applyFont="1" applyAlignment="1"/>
    <xf numFmtId="0" fontId="0" fillId="0" borderId="0" xfId="0" applyFont="1" applyAlignment="1"/>
    <xf numFmtId="0" fontId="0" fillId="0" borderId="0" xfId="0"/>
    <xf numFmtId="2" fontId="0" fillId="0" borderId="0" xfId="0" applyNumberFormat="1"/>
    <xf numFmtId="2" fontId="16" fillId="0" borderId="0" xfId="0" applyNumberFormat="1" applyFont="1" applyAlignment="1"/>
    <xf numFmtId="9" fontId="0" fillId="0" borderId="0" xfId="0" applyNumberFormat="1" applyFont="1" applyAlignment="1"/>
    <xf numFmtId="9" fontId="3" fillId="2" borderId="14" xfId="2" applyFont="1" applyFill="1" applyBorder="1"/>
    <xf numFmtId="9" fontId="3" fillId="0" borderId="8" xfId="2" applyFont="1" applyFill="1" applyBorder="1"/>
    <xf numFmtId="9" fontId="14" fillId="0" borderId="8" xfId="2" applyFont="1" applyFill="1" applyBorder="1"/>
    <xf numFmtId="43" fontId="1" fillId="0" borderId="0" xfId="1" applyFont="1"/>
    <xf numFmtId="176" fontId="23" fillId="0" borderId="0" xfId="4" applyFill="1"/>
    <xf numFmtId="176" fontId="24" fillId="0" borderId="0" xfId="4" applyFont="1" applyFill="1" applyProtection="1">
      <protection locked="0"/>
    </xf>
    <xf numFmtId="176" fontId="23" fillId="0" borderId="0" xfId="4"/>
    <xf numFmtId="176" fontId="25" fillId="0" borderId="0" xfId="4" applyFont="1" applyFill="1" applyAlignment="1">
      <alignment horizontal="center"/>
    </xf>
    <xf numFmtId="176" fontId="26" fillId="0" borderId="0" xfId="4" applyFont="1" applyFill="1" applyAlignment="1">
      <alignment horizontal="center"/>
    </xf>
    <xf numFmtId="176" fontId="27" fillId="0" borderId="0" xfId="4" applyFont="1" applyFill="1" applyProtection="1"/>
    <xf numFmtId="176" fontId="23" fillId="0" borderId="0" xfId="4" applyFill="1" applyAlignment="1"/>
    <xf numFmtId="176" fontId="24" fillId="0" borderId="0" xfId="4" applyFont="1" applyFill="1" applyAlignment="1" applyProtection="1">
      <protection locked="0"/>
    </xf>
    <xf numFmtId="176" fontId="28" fillId="0" borderId="0" xfId="4" applyFont="1" applyFill="1" applyAlignment="1"/>
    <xf numFmtId="176" fontId="28" fillId="0" borderId="0" xfId="4" applyFont="1" applyFill="1" applyAlignment="1">
      <alignment horizontal="center"/>
    </xf>
    <xf numFmtId="176" fontId="29" fillId="0" borderId="0" xfId="4" applyFont="1" applyFill="1" applyAlignment="1">
      <alignment horizontal="center"/>
    </xf>
    <xf numFmtId="176" fontId="31" fillId="0" borderId="0" xfId="5" applyNumberFormat="1" applyFont="1" applyFill="1" applyAlignment="1" applyProtection="1"/>
    <xf numFmtId="176" fontId="30" fillId="0" borderId="0" xfId="5" applyNumberFormat="1" applyFill="1" applyAlignment="1" applyProtection="1"/>
    <xf numFmtId="176" fontId="32" fillId="0" borderId="0" xfId="4" applyFont="1" applyFill="1"/>
    <xf numFmtId="0" fontId="20" fillId="0" borderId="0" xfId="0" applyFont="1" applyAlignment="1">
      <alignment horizontal="right"/>
    </xf>
    <xf numFmtId="0" fontId="33" fillId="0" borderId="0" xfId="0" applyFont="1" applyAlignment="1">
      <alignment horizontal="left"/>
    </xf>
    <xf numFmtId="49" fontId="34" fillId="0" borderId="0" xfId="0" applyNumberFormat="1" applyFont="1"/>
    <xf numFmtId="0" fontId="20" fillId="0" borderId="0" xfId="0" applyFont="1"/>
    <xf numFmtId="0" fontId="34" fillId="0" borderId="0" xfId="0" applyFont="1" applyAlignment="1"/>
    <xf numFmtId="0" fontId="34" fillId="0" borderId="0" xfId="0" applyFont="1"/>
    <xf numFmtId="49" fontId="34" fillId="2" borderId="0" xfId="0" applyNumberFormat="1" applyFont="1" applyFill="1" applyBorder="1"/>
    <xf numFmtId="2" fontId="16" fillId="0" borderId="0" xfId="0" applyNumberFormat="1" applyFont="1" applyFill="1" applyBorder="1" applyAlignment="1">
      <alignment horizontal="right" wrapText="1"/>
    </xf>
    <xf numFmtId="2" fontId="16" fillId="8" borderId="0" xfId="0" applyNumberFormat="1" applyFont="1" applyFill="1" applyAlignment="1"/>
    <xf numFmtId="0" fontId="3" fillId="0" borderId="8" xfId="0" applyFont="1" applyFill="1" applyBorder="1"/>
    <xf numFmtId="164" fontId="3" fillId="0" borderId="8" xfId="1" applyNumberFormat="1" applyFont="1" applyFill="1" applyBorder="1"/>
    <xf numFmtId="43" fontId="0" fillId="0" borderId="0" xfId="1" applyNumberFormat="1" applyFont="1" applyAlignment="1"/>
    <xf numFmtId="43" fontId="1" fillId="0" borderId="0" xfId="1" applyNumberFormat="1" applyFont="1" applyAlignment="1"/>
    <xf numFmtId="177" fontId="0" fillId="0" borderId="0" xfId="0" applyNumberFormat="1" applyFont="1" applyAlignment="1"/>
    <xf numFmtId="177" fontId="0" fillId="11" borderId="0" xfId="0" applyNumberFormat="1" applyFont="1" applyFill="1" applyAlignment="1"/>
    <xf numFmtId="0" fontId="4" fillId="0" borderId="0" xfId="0" applyFont="1" applyAlignment="1">
      <alignment horizontal="center"/>
    </xf>
    <xf numFmtId="0" fontId="0" fillId="0" borderId="0" xfId="0" applyFont="1" applyAlignment="1"/>
    <xf numFmtId="49" fontId="3" fillId="2" borderId="35" xfId="0" applyNumberFormat="1" applyFont="1" applyFill="1" applyBorder="1" applyAlignment="1">
      <alignment horizontal="center"/>
    </xf>
    <xf numFmtId="0" fontId="6" fillId="0" borderId="36" xfId="0" applyFont="1" applyBorder="1"/>
    <xf numFmtId="0" fontId="6" fillId="0" borderId="37" xfId="0" applyFont="1" applyBorder="1"/>
    <xf numFmtId="0" fontId="6" fillId="0" borderId="38" xfId="0" applyFont="1" applyBorder="1"/>
    <xf numFmtId="49" fontId="3" fillId="2" borderId="5" xfId="0" applyNumberFormat="1" applyFont="1" applyFill="1" applyBorder="1" applyAlignment="1">
      <alignment horizontal="center"/>
    </xf>
    <xf numFmtId="0" fontId="6" fillId="0" borderId="5" xfId="0" applyFont="1" applyBorder="1"/>
    <xf numFmtId="0" fontId="6" fillId="0" borderId="6" xfId="0" applyFont="1" applyBorder="1"/>
    <xf numFmtId="49" fontId="3" fillId="2" borderId="0" xfId="0" applyNumberFormat="1" applyFont="1" applyFill="1" applyBorder="1" applyAlignment="1">
      <alignment horizontal="center"/>
    </xf>
    <xf numFmtId="0" fontId="6" fillId="0" borderId="0" xfId="0" applyFont="1" applyBorder="1"/>
    <xf numFmtId="0" fontId="3" fillId="3" borderId="0" xfId="0" applyFont="1" applyFill="1" applyBorder="1" applyAlignment="1">
      <alignment horizontal="center"/>
    </xf>
    <xf numFmtId="0" fontId="4" fillId="3" borderId="0" xfId="0" applyFont="1" applyFill="1" applyBorder="1" applyAlignment="1">
      <alignment horizontal="center"/>
    </xf>
    <xf numFmtId="0" fontId="3" fillId="0" borderId="0" xfId="0" applyFont="1" applyAlignment="1">
      <alignment horizontal="left" wrapText="1"/>
    </xf>
    <xf numFmtId="0" fontId="0" fillId="8" borderId="0" xfId="0" applyFont="1" applyFill="1" applyAlignment="1">
      <alignment horizontal="center" wrapText="1"/>
    </xf>
    <xf numFmtId="49" fontId="3" fillId="6" borderId="0" xfId="0" applyNumberFormat="1" applyFont="1" applyFill="1" applyBorder="1" applyAlignment="1">
      <alignment horizontal="center"/>
    </xf>
    <xf numFmtId="49" fontId="3" fillId="2" borderId="2" xfId="0" applyNumberFormat="1" applyFont="1" applyFill="1" applyBorder="1" applyAlignment="1">
      <alignment horizontal="center" wrapText="1"/>
    </xf>
    <xf numFmtId="0" fontId="6" fillId="0" borderId="34" xfId="0" applyFont="1" applyBorder="1"/>
    <xf numFmtId="49" fontId="10" fillId="2" borderId="21" xfId="0" applyNumberFormat="1" applyFont="1" applyFill="1" applyBorder="1" applyAlignment="1">
      <alignment horizontal="center"/>
    </xf>
    <xf numFmtId="0" fontId="6" fillId="0" borderId="21" xfId="0" applyFont="1" applyBorder="1"/>
    <xf numFmtId="0" fontId="6" fillId="0" borderId="22" xfId="0" applyFont="1" applyBorder="1"/>
    <xf numFmtId="2" fontId="3" fillId="2" borderId="18" xfId="0" applyNumberFormat="1" applyFont="1" applyFill="1" applyBorder="1" applyAlignment="1">
      <alignment horizontal="right"/>
    </xf>
    <xf numFmtId="0" fontId="6" fillId="0" borderId="19" xfId="0" applyFont="1" applyBorder="1"/>
    <xf numFmtId="0" fontId="5" fillId="2" borderId="1" xfId="0" applyFont="1" applyFill="1" applyBorder="1" applyAlignment="1">
      <alignment horizontal="center"/>
    </xf>
    <xf numFmtId="0" fontId="6" fillId="0" borderId="2" xfId="0" applyFont="1" applyBorder="1"/>
    <xf numFmtId="0" fontId="6" fillId="0" borderId="3" xfId="0" applyFont="1" applyBorder="1"/>
    <xf numFmtId="49" fontId="3" fillId="2" borderId="11" xfId="0" applyNumberFormat="1" applyFont="1" applyFill="1" applyBorder="1" applyAlignment="1">
      <alignment horizontal="center"/>
    </xf>
    <xf numFmtId="0" fontId="6" fillId="0" borderId="12" xfId="0" applyFont="1" applyBorder="1"/>
    <xf numFmtId="1" fontId="3" fillId="2" borderId="11" xfId="0" applyNumberFormat="1" applyFont="1" applyFill="1" applyBorder="1" applyAlignment="1">
      <alignment horizontal="center"/>
    </xf>
    <xf numFmtId="49" fontId="7" fillId="2" borderId="4" xfId="0" applyNumberFormat="1" applyFont="1" applyFill="1" applyBorder="1" applyAlignment="1">
      <alignment horizontal="center"/>
    </xf>
    <xf numFmtId="164" fontId="3" fillId="2" borderId="11" xfId="0" applyNumberFormat="1" applyFont="1" applyFill="1" applyBorder="1" applyAlignment="1">
      <alignment horizontal="center"/>
    </xf>
  </cellXfs>
  <cellStyles count="6">
    <cellStyle name="Comma" xfId="1" builtinId="3"/>
    <cellStyle name="Hyperlink" xfId="5" builtinId="8"/>
    <cellStyle name="Normal" xfId="0" builtinId="0"/>
    <cellStyle name="Normal 2" xfId="3"/>
    <cellStyle name="Normal 3" xfId="4"/>
    <cellStyle name="Percent" xfId="2" builtinId="5"/>
  </cellStyles>
  <dxfs count="66">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35" formatCode="_(* #,##0.00_);_(* \(#,##0.00\);_(* &quot;-&quot;??_);_(@_)"/>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border outline="0">
        <top style="thin">
          <color theme="4" tint="0.39997558519241921"/>
        </top>
        <bottom style="thin">
          <color indexed="64"/>
        </bottom>
      </border>
    </dxf>
    <dxf>
      <font>
        <b val="0"/>
        <i val="0"/>
        <strike val="0"/>
        <condense val="0"/>
        <extend val="0"/>
        <outline val="0"/>
        <shadow val="0"/>
        <u val="none"/>
        <vertAlign val="baseline"/>
        <sz val="10"/>
        <color auto="1"/>
        <name val="Times New Roman"/>
        <scheme val="none"/>
      </font>
    </dxf>
    <dxf>
      <border outline="0">
        <bottom style="thin">
          <color theme="4" tint="0.39997558519241921"/>
        </bottom>
      </border>
    </dxf>
    <dxf>
      <font>
        <b val="0"/>
        <i val="0"/>
        <strike val="0"/>
        <condense val="0"/>
        <extend val="0"/>
        <outline val="0"/>
        <shadow val="0"/>
        <u val="none"/>
        <vertAlign val="baseline"/>
        <sz val="12"/>
        <color theme="1"/>
        <name val="Calibri"/>
        <scheme val="none"/>
      </font>
      <fill>
        <patternFill patternType="solid">
          <fgColor theme="4" tint="0.79998168889431442"/>
          <bgColor theme="4"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35" formatCode="_(* #,##0.00_);_(* \(#,##0.00\);_(* &quot;-&quot;??_);_(@_)"/>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border outline="0">
        <top style="thin">
          <color theme="4" tint="0.39997558519241921"/>
        </top>
        <bottom style="thin">
          <color indexed="64"/>
        </bottom>
      </border>
    </dxf>
    <dxf>
      <font>
        <b val="0"/>
        <i val="0"/>
        <strike val="0"/>
        <condense val="0"/>
        <extend val="0"/>
        <outline val="0"/>
        <shadow val="0"/>
        <u val="none"/>
        <vertAlign val="baseline"/>
        <sz val="10"/>
        <color auto="1"/>
        <name val="Times New Roman"/>
        <scheme val="none"/>
      </font>
    </dxf>
    <dxf>
      <border outline="0">
        <bottom style="thin">
          <color theme="4" tint="0.39997558519241921"/>
        </bottom>
      </border>
    </dxf>
    <dxf>
      <font>
        <b val="0"/>
        <i val="0"/>
        <strike val="0"/>
        <condense val="0"/>
        <extend val="0"/>
        <outline val="0"/>
        <shadow val="0"/>
        <u val="none"/>
        <vertAlign val="baseline"/>
        <sz val="12"/>
        <color theme="1"/>
        <name val="Calibri"/>
        <scheme val="none"/>
      </font>
      <fill>
        <patternFill patternType="solid">
          <fgColor theme="4" tint="0.79998168889431442"/>
          <bgColor theme="4"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35" formatCode="_(* #,##0.00_);_(* \(#,##0.00\);_(* &quot;-&quot;??_);_(@_)"/>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border outline="0">
        <top style="thin">
          <color theme="4" tint="0.39997558519241921"/>
        </top>
        <bottom style="thin">
          <color indexed="64"/>
        </bottom>
      </border>
    </dxf>
    <dxf>
      <font>
        <b val="0"/>
        <i val="0"/>
        <strike val="0"/>
        <condense val="0"/>
        <extend val="0"/>
        <outline val="0"/>
        <shadow val="0"/>
        <u val="none"/>
        <vertAlign val="baseline"/>
        <sz val="10"/>
        <color auto="1"/>
        <name val="Times New Roman"/>
        <scheme val="none"/>
      </font>
    </dxf>
    <dxf>
      <border outline="0">
        <bottom style="thin">
          <color theme="4" tint="0.39997558519241921"/>
        </bottom>
      </border>
    </dxf>
    <dxf>
      <font>
        <b val="0"/>
        <i val="0"/>
        <strike val="0"/>
        <condense val="0"/>
        <extend val="0"/>
        <outline val="0"/>
        <shadow val="0"/>
        <u val="none"/>
        <vertAlign val="baseline"/>
        <sz val="12"/>
        <color theme="1"/>
        <name val="Calibri"/>
        <scheme val="none"/>
      </font>
      <fill>
        <patternFill patternType="solid">
          <fgColor theme="4" tint="0.79998168889431442"/>
          <bgColor theme="4"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35" formatCode="_(* #,##0.00_);_(* \(#,##0.00\);_(* &quot;-&quot;??_);_(@_)"/>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border outline="0">
        <top style="thin">
          <color theme="4" tint="0.39997558519241921"/>
        </top>
        <bottom style="thin">
          <color indexed="64"/>
        </bottom>
      </border>
    </dxf>
    <dxf>
      <font>
        <b val="0"/>
        <i val="0"/>
        <strike val="0"/>
        <condense val="0"/>
        <extend val="0"/>
        <outline val="0"/>
        <shadow val="0"/>
        <u val="none"/>
        <vertAlign val="baseline"/>
        <sz val="10"/>
        <color auto="1"/>
        <name val="Times New Roman"/>
        <scheme val="none"/>
      </font>
    </dxf>
    <dxf>
      <border outline="0">
        <bottom style="thin">
          <color theme="4" tint="0.39997558519241921"/>
        </bottom>
      </border>
    </dxf>
    <dxf>
      <font>
        <b val="0"/>
        <i val="0"/>
        <strike val="0"/>
        <condense val="0"/>
        <extend val="0"/>
        <outline val="0"/>
        <shadow val="0"/>
        <u val="none"/>
        <vertAlign val="baseline"/>
        <sz val="12"/>
        <color theme="1"/>
        <name val="Calibri"/>
        <scheme val="none"/>
      </font>
      <fill>
        <patternFill patternType="solid">
          <fgColor theme="4" tint="0.79998168889431442"/>
          <bgColor theme="4"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35" formatCode="_(* #,##0.00_);_(* \(#,##0.00\);_(* &quot;-&quot;??_);_(@_)"/>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font>
        <b val="0"/>
        <i val="0"/>
        <strike val="0"/>
        <condense val="0"/>
        <extend val="0"/>
        <outline val="0"/>
        <shadow val="0"/>
        <u val="none"/>
        <vertAlign val="baseline"/>
        <sz val="10"/>
        <color auto="1"/>
        <name val="Times New Roman"/>
        <scheme val="none"/>
      </font>
      <numFmt numFmtId="2" formatCode="0.00"/>
    </dxf>
    <dxf>
      <border outline="0">
        <top style="thin">
          <color theme="4" tint="0.39997558519241921"/>
        </top>
        <bottom style="thin">
          <color indexed="64"/>
        </bottom>
      </border>
    </dxf>
    <dxf>
      <font>
        <b val="0"/>
        <i val="0"/>
        <strike val="0"/>
        <condense val="0"/>
        <extend val="0"/>
        <outline val="0"/>
        <shadow val="0"/>
        <u val="none"/>
        <vertAlign val="baseline"/>
        <sz val="10"/>
        <color auto="1"/>
        <name val="Times New Roman"/>
        <scheme val="none"/>
      </font>
    </dxf>
    <dxf>
      <border outline="0">
        <bottom style="thin">
          <color theme="4" tint="0.39997558519241921"/>
        </bottom>
      </border>
    </dxf>
    <dxf>
      <font>
        <b val="0"/>
        <i val="0"/>
        <strike val="0"/>
        <condense val="0"/>
        <extend val="0"/>
        <outline val="0"/>
        <shadow val="0"/>
        <u val="none"/>
        <vertAlign val="baseline"/>
        <sz val="12"/>
        <color theme="1"/>
        <name val="Calibri"/>
        <scheme val="none"/>
      </font>
      <fill>
        <patternFill patternType="solid">
          <fgColor theme="4" tint="0.79998168889431442"/>
          <bgColor theme="4" tint="0.79998168889431442"/>
        </patternFill>
      </fill>
      <alignment horizontal="general" vertical="bottom" textRotation="0" wrapText="0" indent="0" justifyLastLine="0" shrinkToFit="0" readingOrder="0"/>
    </dxf>
    <dxf>
      <font>
        <color rgb="FFFF0000"/>
      </font>
      <fill>
        <patternFill patternType="none"/>
      </fill>
      <border>
        <left/>
        <right/>
        <top/>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externalLink" Target="externalLinks/externalLink1.xml"/><Relationship Id="rId7" Type="http://schemas.openxmlformats.org/officeDocument/2006/relationships/externalLink" Target="externalLinks/externalLink2.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6.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lvl="0">
              <a:defRPr sz="1600" b="1" i="0">
                <a:solidFill>
                  <a:srgbClr val="595959"/>
                </a:solidFill>
              </a:defRPr>
            </a:pPr>
            <a:r>
              <a:rPr lang="en-US"/>
              <a:t>SHARE per Visitor Segment</a:t>
            </a:r>
          </a:p>
        </c:rich>
      </c:tx>
      <c:layout/>
      <c:overlay val="0"/>
    </c:title>
    <c:autoTitleDeleted val="0"/>
    <c:plotArea>
      <c:layout/>
      <c:pieChart>
        <c:varyColors val="1"/>
        <c:ser>
          <c:idx val="0"/>
          <c:order val="0"/>
          <c:tx>
            <c:strRef>
              <c:f>MAIN!$B$13</c:f>
              <c:strCache>
                <c:ptCount val="1"/>
                <c:pt idx="0">
                  <c:v>Number</c:v>
                </c:pt>
              </c:strCache>
            </c:strRef>
          </c:tx>
          <c:dPt>
            <c:idx val="0"/>
            <c:bubble3D val="0"/>
            <c:spPr>
              <a:solidFill>
                <a:srgbClr val="5B9BD5"/>
              </a:solidFill>
            </c:spPr>
            <c:extLst xmlns:c16r2="http://schemas.microsoft.com/office/drawing/2015/06/chart">
              <c:ext xmlns:c16="http://schemas.microsoft.com/office/drawing/2014/chart" uri="{C3380CC4-5D6E-409C-BE32-E72D297353CC}">
                <c16:uniqueId val="{00000001-CFFE-41D9-90E9-E4A010A1A529}"/>
              </c:ext>
            </c:extLst>
          </c:dPt>
          <c:dPt>
            <c:idx val="1"/>
            <c:bubble3D val="0"/>
            <c:spPr>
              <a:solidFill>
                <a:srgbClr val="ED7D31"/>
              </a:solidFill>
            </c:spPr>
            <c:extLst xmlns:c16r2="http://schemas.microsoft.com/office/drawing/2015/06/chart">
              <c:ext xmlns:c16="http://schemas.microsoft.com/office/drawing/2014/chart" uri="{C3380CC4-5D6E-409C-BE32-E72D297353CC}">
                <c16:uniqueId val="{00000003-CFFE-41D9-90E9-E4A010A1A529}"/>
              </c:ext>
            </c:extLst>
          </c:dPt>
          <c:dPt>
            <c:idx val="2"/>
            <c:bubble3D val="0"/>
            <c:spPr>
              <a:solidFill>
                <a:srgbClr val="A5A5A5"/>
              </a:solidFill>
            </c:spPr>
            <c:extLst xmlns:c16r2="http://schemas.microsoft.com/office/drawing/2015/06/chart">
              <c:ext xmlns:c16="http://schemas.microsoft.com/office/drawing/2014/chart" uri="{C3380CC4-5D6E-409C-BE32-E72D297353CC}">
                <c16:uniqueId val="{00000005-CFFE-41D9-90E9-E4A010A1A529}"/>
              </c:ext>
            </c:extLst>
          </c:dPt>
          <c:dPt>
            <c:idx val="3"/>
            <c:bubble3D val="0"/>
            <c:spPr>
              <a:solidFill>
                <a:srgbClr val="FFC000"/>
              </a:solidFill>
            </c:spPr>
            <c:extLst xmlns:c16r2="http://schemas.microsoft.com/office/drawing/2015/06/chart">
              <c:ext xmlns:c16="http://schemas.microsoft.com/office/drawing/2014/chart" uri="{C3380CC4-5D6E-409C-BE32-E72D297353CC}">
                <c16:uniqueId val="{00000007-CFFE-41D9-90E9-E4A010A1A529}"/>
              </c:ext>
            </c:extLst>
          </c:dPt>
          <c:dPt>
            <c:idx val="4"/>
            <c:bubble3D val="0"/>
            <c:spPr>
              <a:solidFill>
                <a:srgbClr val="4472C4"/>
              </a:solidFill>
            </c:spPr>
            <c:extLst xmlns:c16r2="http://schemas.microsoft.com/office/drawing/2015/06/chart">
              <c:ext xmlns:c16="http://schemas.microsoft.com/office/drawing/2014/chart" uri="{C3380CC4-5D6E-409C-BE32-E72D297353CC}">
                <c16:uniqueId val="{00000009-CFFE-41D9-90E9-E4A010A1A529}"/>
              </c:ext>
            </c:extLst>
          </c:dPt>
          <c:dPt>
            <c:idx val="5"/>
            <c:bubble3D val="0"/>
            <c:spPr>
              <a:solidFill>
                <a:srgbClr val="70AD47"/>
              </a:solidFill>
            </c:spPr>
            <c:extLst xmlns:c16r2="http://schemas.microsoft.com/office/drawing/2015/06/chart">
              <c:ext xmlns:c16="http://schemas.microsoft.com/office/drawing/2014/chart" uri="{C3380CC4-5D6E-409C-BE32-E72D297353CC}">
                <c16:uniqueId val="{0000000B-CFFE-41D9-90E9-E4A010A1A529}"/>
              </c:ext>
            </c:extLst>
          </c:dPt>
          <c:dPt>
            <c:idx val="6"/>
            <c:bubble3D val="0"/>
            <c:spPr>
              <a:solidFill>
                <a:srgbClr val="243E55"/>
              </a:solidFill>
            </c:spPr>
            <c:extLst xmlns:c16r2="http://schemas.microsoft.com/office/drawing/2015/06/chart">
              <c:ext xmlns:c16="http://schemas.microsoft.com/office/drawing/2014/chart" uri="{C3380CC4-5D6E-409C-BE32-E72D297353CC}">
                <c16:uniqueId val="{0000000D-CFFE-41D9-90E9-E4A010A1A529}"/>
              </c:ext>
            </c:extLst>
          </c:dPt>
          <c:dPt>
            <c:idx val="7"/>
            <c:bubble3D val="0"/>
            <c:spPr>
              <a:solidFill>
                <a:srgbClr val="5F3214"/>
              </a:solidFill>
            </c:spPr>
            <c:extLst xmlns:c16r2="http://schemas.microsoft.com/office/drawing/2015/06/chart">
              <c:ext xmlns:c16="http://schemas.microsoft.com/office/drawing/2014/chart" uri="{C3380CC4-5D6E-409C-BE32-E72D297353CC}">
                <c16:uniqueId val="{0000000F-CFFE-41D9-90E9-E4A010A1A529}"/>
              </c:ext>
            </c:extLst>
          </c:dPt>
          <c:dPt>
            <c:idx val="8"/>
            <c:bubble3D val="0"/>
            <c:spPr>
              <a:solidFill>
                <a:srgbClr val="424242"/>
              </a:solidFill>
            </c:spPr>
            <c:extLst xmlns:c16r2="http://schemas.microsoft.com/office/drawing/2015/06/chart">
              <c:ext xmlns:c16="http://schemas.microsoft.com/office/drawing/2014/chart" uri="{C3380CC4-5D6E-409C-BE32-E72D297353CC}">
                <c16:uniqueId val="{00000011-CFFE-41D9-90E9-E4A010A1A529}"/>
              </c:ext>
            </c:extLst>
          </c:dPt>
          <c:dPt>
            <c:idx val="9"/>
            <c:bubble3D val="0"/>
            <c:spPr>
              <a:solidFill>
                <a:srgbClr val="664D00"/>
              </a:solidFill>
            </c:spPr>
            <c:extLst xmlns:c16r2="http://schemas.microsoft.com/office/drawing/2015/06/chart">
              <c:ext xmlns:c16="http://schemas.microsoft.com/office/drawing/2014/chart" uri="{C3380CC4-5D6E-409C-BE32-E72D297353CC}">
                <c16:uniqueId val="{00000013-CFFE-41D9-90E9-E4A010A1A529}"/>
              </c:ext>
            </c:extLst>
          </c:dPt>
          <c:dPt>
            <c:idx val="10"/>
            <c:bubble3D val="0"/>
            <c:spPr>
              <a:solidFill>
                <a:srgbClr val="1B2E4E"/>
              </a:solidFill>
            </c:spPr>
            <c:extLst xmlns:c16r2="http://schemas.microsoft.com/office/drawing/2015/06/chart">
              <c:ext xmlns:c16="http://schemas.microsoft.com/office/drawing/2014/chart" uri="{C3380CC4-5D6E-409C-BE32-E72D297353CC}">
                <c16:uniqueId val="{00000015-CFFE-41D9-90E9-E4A010A1A529}"/>
              </c:ext>
            </c:extLst>
          </c:dPt>
          <c:dPt>
            <c:idx val="11"/>
            <c:bubble3D val="0"/>
            <c:spPr>
              <a:solidFill>
                <a:srgbClr val="2D451C"/>
              </a:solidFill>
            </c:spPr>
            <c:extLst xmlns:c16r2="http://schemas.microsoft.com/office/drawing/2015/06/chart">
              <c:ext xmlns:c16="http://schemas.microsoft.com/office/drawing/2014/chart" uri="{C3380CC4-5D6E-409C-BE32-E72D297353CC}">
                <c16:uniqueId val="{00000017-CFFE-41D9-90E9-E4A010A1A529}"/>
              </c:ext>
            </c:extLst>
          </c:dPt>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MAIN!$C$12:$N$12</c:f>
              <c:strCache>
                <c:ptCount val="2"/>
                <c:pt idx="0">
                  <c:v>Segment 1</c:v>
                </c:pt>
                <c:pt idx="1">
                  <c:v>Segment 2</c:v>
                </c:pt>
              </c:strCache>
            </c:strRef>
          </c:cat>
          <c:val>
            <c:numRef>
              <c:f>MAIN!$C$13:$N$13</c:f>
              <c:numCache>
                <c:formatCode>_(* #,##0_);_(* \(#,##0\);_(* "-"??_);_(@_)</c:formatCode>
                <c:ptCount val="12"/>
                <c:pt idx="0">
                  <c:v>1.0</c:v>
                </c:pt>
                <c:pt idx="1">
                  <c:v>1.0</c:v>
                </c:pt>
              </c:numCache>
            </c:numRef>
          </c:val>
          <c:extLst xmlns:c16r2="http://schemas.microsoft.com/office/drawing/2015/06/chart">
            <c:ext xmlns:c16="http://schemas.microsoft.com/office/drawing/2014/chart" uri="{C3380CC4-5D6E-409C-BE32-E72D297353CC}">
              <c16:uniqueId val="{00000018-CFFE-41D9-90E9-E4A010A1A529}"/>
            </c:ext>
          </c:extLst>
        </c:ser>
        <c:dLbls>
          <c:showLegendKey val="0"/>
          <c:showVal val="0"/>
          <c:showCatName val="0"/>
          <c:showSerName val="0"/>
          <c:showPercent val="0"/>
          <c:showBubbleSize val="0"/>
          <c:showLeaderLines val="1"/>
        </c:dLbls>
        <c:firstSliceAng val="0"/>
      </c:pieChart>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lvl="0">
              <a:defRPr sz="1600" b="1" i="0">
                <a:solidFill>
                  <a:srgbClr val="A7A7A7"/>
                </a:solidFill>
              </a:defRPr>
            </a:pPr>
            <a:r>
              <a:rPr lang="en-US"/>
              <a:t>Average Spending per Visitor Segment per Visitor Unit</a:t>
            </a:r>
          </a:p>
        </c:rich>
      </c:tx>
      <c:layout/>
      <c:overlay val="0"/>
    </c:title>
    <c:autoTitleDeleted val="0"/>
    <c:plotArea>
      <c:layout/>
      <c:barChart>
        <c:barDir val="col"/>
        <c:grouping val="clustered"/>
        <c:varyColors val="1"/>
        <c:ser>
          <c:idx val="0"/>
          <c:order val="0"/>
          <c:spPr>
            <a:solidFill>
              <a:srgbClr val="5B9BD5"/>
            </a:solidFill>
          </c:spPr>
          <c:invertIfNegative val="1"/>
          <c:cat>
            <c:strRef>
              <c:f>MAIN!$C$18:$N$18</c:f>
              <c:strCache>
                <c:ptCount val="12"/>
                <c:pt idx="0">
                  <c:v>Segment 1</c:v>
                </c:pt>
                <c:pt idx="1">
                  <c:v>Segment 2</c:v>
                </c:pt>
                <c:pt idx="2">
                  <c:v> -   </c:v>
                </c:pt>
                <c:pt idx="3">
                  <c:v> -   </c:v>
                </c:pt>
                <c:pt idx="4">
                  <c:v> -   </c:v>
                </c:pt>
                <c:pt idx="5">
                  <c:v> -   </c:v>
                </c:pt>
                <c:pt idx="6">
                  <c:v> -   </c:v>
                </c:pt>
                <c:pt idx="7">
                  <c:v> -   </c:v>
                </c:pt>
                <c:pt idx="8">
                  <c:v> -   </c:v>
                </c:pt>
                <c:pt idx="9">
                  <c:v> -   </c:v>
                </c:pt>
                <c:pt idx="10">
                  <c:v> -   </c:v>
                </c:pt>
                <c:pt idx="11">
                  <c:v> -   </c:v>
                </c:pt>
              </c:strCache>
            </c:strRef>
          </c:cat>
          <c:val>
            <c:numRef>
              <c:f>MAIN!$C$33:$N$33</c:f>
              <c:numCache>
                <c:formatCode>0.00</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extLst xmlns:c16r2="http://schemas.microsoft.com/office/drawing/2015/06/chart">
            <c:ext xmlns:c16="http://schemas.microsoft.com/office/drawing/2014/chart" uri="{C3380CC4-5D6E-409C-BE32-E72D297353CC}">
              <c16:uniqueId val="{00000000-C4E0-46E1-8B5F-4D6C8D8D96BA}"/>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08455744"/>
        <c:axId val="2108458176"/>
      </c:barChart>
      <c:catAx>
        <c:axId val="2108455744"/>
        <c:scaling>
          <c:orientation val="minMax"/>
        </c:scaling>
        <c:delete val="0"/>
        <c:axPos val="b"/>
        <c:numFmt formatCode="General" sourceLinked="1"/>
        <c:majorTickMark val="cross"/>
        <c:minorTickMark val="cross"/>
        <c:tickLblPos val="nextTo"/>
        <c:txPr>
          <a:bodyPr/>
          <a:lstStyle/>
          <a:p>
            <a:pPr lvl="0">
              <a:defRPr sz="900" b="0" i="0">
                <a:solidFill>
                  <a:srgbClr val="151515"/>
                </a:solidFill>
              </a:defRPr>
            </a:pPr>
            <a:endParaRPr lang="en-US"/>
          </a:p>
        </c:txPr>
        <c:crossAx val="2108458176"/>
        <c:crosses val="autoZero"/>
        <c:auto val="1"/>
        <c:lblAlgn val="ctr"/>
        <c:lblOffset val="100"/>
        <c:noMultiLvlLbl val="1"/>
      </c:catAx>
      <c:valAx>
        <c:axId val="2108458176"/>
        <c:scaling>
          <c:orientation val="minMax"/>
        </c:scaling>
        <c:delete val="0"/>
        <c:axPos val="l"/>
        <c:majorGridlines>
          <c:spPr>
            <a:ln>
              <a:solidFill>
                <a:srgbClr val="F2F2F2"/>
              </a:solidFill>
            </a:ln>
          </c:spPr>
        </c:majorGridlines>
        <c:numFmt formatCode="0.00" sourceLinked="1"/>
        <c:majorTickMark val="cross"/>
        <c:minorTickMark val="cross"/>
        <c:tickLblPos val="nextTo"/>
        <c:spPr>
          <a:ln w="47625">
            <a:noFill/>
          </a:ln>
        </c:spPr>
        <c:txPr>
          <a:bodyPr/>
          <a:lstStyle/>
          <a:p>
            <a:pPr lvl="0">
              <a:defRPr sz="900" b="0" i="0">
                <a:solidFill>
                  <a:srgbClr val="A7A7A7"/>
                </a:solidFill>
              </a:defRPr>
            </a:pPr>
            <a:endParaRPr lang="en-US"/>
          </a:p>
        </c:txPr>
        <c:crossAx val="2108455744"/>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lvl="0">
              <a:defRPr sz="1600" b="1" i="0">
                <a:solidFill>
                  <a:srgbClr val="A7A7A7"/>
                </a:solidFill>
              </a:defRPr>
            </a:pPr>
            <a:r>
              <a:rPr lang="en-US"/>
              <a:t>Total Visitor Spending per Visitor Segment ($ 000's)</a:t>
            </a:r>
          </a:p>
        </c:rich>
      </c:tx>
      <c:layout/>
      <c:overlay val="0"/>
    </c:title>
    <c:autoTitleDeleted val="0"/>
    <c:plotArea>
      <c:layout/>
      <c:barChart>
        <c:barDir val="col"/>
        <c:grouping val="clustered"/>
        <c:varyColors val="1"/>
        <c:ser>
          <c:idx val="0"/>
          <c:order val="0"/>
          <c:spPr>
            <a:solidFill>
              <a:srgbClr val="5B9BD5"/>
            </a:solidFill>
          </c:spPr>
          <c:invertIfNegative val="1"/>
          <c:cat>
            <c:strRef>
              <c:f>MAIN!$C$38:$N$38</c:f>
              <c:strCache>
                <c:ptCount val="12"/>
                <c:pt idx="0">
                  <c:v>Segment 1</c:v>
                </c:pt>
                <c:pt idx="1">
                  <c:v>Segment 2</c:v>
                </c:pt>
                <c:pt idx="2">
                  <c:v> -   </c:v>
                </c:pt>
                <c:pt idx="3">
                  <c:v> -   </c:v>
                </c:pt>
                <c:pt idx="4">
                  <c:v> -   </c:v>
                </c:pt>
                <c:pt idx="5">
                  <c:v> -   </c:v>
                </c:pt>
                <c:pt idx="6">
                  <c:v> -   </c:v>
                </c:pt>
                <c:pt idx="7">
                  <c:v> -   </c:v>
                </c:pt>
                <c:pt idx="8">
                  <c:v> -   </c:v>
                </c:pt>
                <c:pt idx="9">
                  <c:v> -   </c:v>
                </c:pt>
                <c:pt idx="10">
                  <c:v> -   </c:v>
                </c:pt>
                <c:pt idx="11">
                  <c:v> -   </c:v>
                </c:pt>
              </c:strCache>
            </c:strRef>
          </c:cat>
          <c:val>
            <c:numRef>
              <c:f>MAIN!$C$53:$N$53</c:f>
              <c:numCache>
                <c:formatCode>" "* #,##0" ";" "* \(#,##0\);" "* "-"??" "</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extLst xmlns:c16r2="http://schemas.microsoft.com/office/drawing/2015/06/chart">
            <c:ext xmlns:c16="http://schemas.microsoft.com/office/drawing/2014/chart" uri="{C3380CC4-5D6E-409C-BE32-E72D297353CC}">
              <c16:uniqueId val="{00000000-289C-4942-95CE-D62D784EDBB7}"/>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08494432"/>
        <c:axId val="2108496864"/>
      </c:barChart>
      <c:catAx>
        <c:axId val="2108494432"/>
        <c:scaling>
          <c:orientation val="minMax"/>
        </c:scaling>
        <c:delete val="0"/>
        <c:axPos val="b"/>
        <c:numFmt formatCode="General" sourceLinked="1"/>
        <c:majorTickMark val="cross"/>
        <c:minorTickMark val="cross"/>
        <c:tickLblPos val="nextTo"/>
        <c:txPr>
          <a:bodyPr/>
          <a:lstStyle/>
          <a:p>
            <a:pPr lvl="0">
              <a:defRPr sz="900" b="0" i="0">
                <a:solidFill>
                  <a:srgbClr val="535353"/>
                </a:solidFill>
              </a:defRPr>
            </a:pPr>
            <a:endParaRPr lang="en-US"/>
          </a:p>
        </c:txPr>
        <c:crossAx val="2108496864"/>
        <c:crosses val="autoZero"/>
        <c:auto val="1"/>
        <c:lblAlgn val="ctr"/>
        <c:lblOffset val="100"/>
        <c:noMultiLvlLbl val="1"/>
      </c:catAx>
      <c:valAx>
        <c:axId val="2108496864"/>
        <c:scaling>
          <c:orientation val="minMax"/>
        </c:scaling>
        <c:delete val="0"/>
        <c:axPos val="l"/>
        <c:majorGridlines>
          <c:spPr>
            <a:ln>
              <a:solidFill>
                <a:srgbClr val="F2F2F2"/>
              </a:solidFill>
            </a:ln>
          </c:spPr>
        </c:majorGridlines>
        <c:numFmt formatCode="&quot; &quot;* #,##0&quot; &quot;;&quot; &quot;* \(#,##0\);&quot; &quot;* &quot;-&quot;??&quot; &quot;" sourceLinked="1"/>
        <c:majorTickMark val="cross"/>
        <c:minorTickMark val="cross"/>
        <c:tickLblPos val="nextTo"/>
        <c:spPr>
          <a:ln w="47625">
            <a:noFill/>
          </a:ln>
        </c:spPr>
        <c:txPr>
          <a:bodyPr/>
          <a:lstStyle/>
          <a:p>
            <a:pPr lvl="0">
              <a:defRPr sz="900" b="0" i="0">
                <a:solidFill>
                  <a:srgbClr val="A7A7A7"/>
                </a:solidFill>
              </a:defRPr>
            </a:pPr>
            <a:endParaRPr lang="en-US"/>
          </a:p>
        </c:txPr>
        <c:crossAx val="2108494432"/>
        <c:crosses val="autoZero"/>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lvl="0">
              <a:defRPr sz="1600" b="1" i="0">
                <a:solidFill>
                  <a:srgbClr val="595959"/>
                </a:solidFill>
              </a:defRPr>
            </a:pPr>
            <a:r>
              <a:rPr lang="en-US"/>
              <a:t>Average Spending per Expenses Categories</a:t>
            </a:r>
          </a:p>
        </c:rich>
      </c:tx>
      <c:layout/>
      <c:overlay val="0"/>
    </c:title>
    <c:autoTitleDeleted val="0"/>
    <c:plotArea>
      <c:layout/>
      <c:barChart>
        <c:barDir val="bar"/>
        <c:grouping val="clustered"/>
        <c:varyColors val="1"/>
        <c:ser>
          <c:idx val="0"/>
          <c:order val="0"/>
          <c:spPr>
            <a:solidFill>
              <a:srgbClr val="5B9BD5"/>
            </a:solidFill>
          </c:spPr>
          <c:invertIfNegative val="1"/>
          <c:cat>
            <c:strRef>
              <c:f>MAIN!$B$19:$B$32</c:f>
              <c:strCache>
                <c:ptCount val="14"/>
                <c:pt idx="0">
                  <c:v>All inclusive packages</c:v>
                </c:pt>
                <c:pt idx="1">
                  <c:v>Accomodation: Hotel, lodges, B&amp;B, bushcamps,...</c:v>
                </c:pt>
                <c:pt idx="2">
                  <c:v>Camping fees </c:v>
                </c:pt>
                <c:pt idx="3">
                  <c:v>Meals: Restaurants, bars,...</c:v>
                </c:pt>
                <c:pt idx="4">
                  <c:v>Groceries, </c:v>
                </c:pt>
                <c:pt idx="5">
                  <c:v>Gas &amp; oil </c:v>
                </c:pt>
                <c:pt idx="6">
                  <c:v>Local transportation </c:v>
                </c:pt>
                <c:pt idx="7">
                  <c:v>Admissions &amp; fees (PA entry)</c:v>
                </c:pt>
                <c:pt idx="8">
                  <c:v>Activities and Guided Tours (e.g. game drives)</c:v>
                </c:pt>
                <c:pt idx="9">
                  <c:v>Souvenirs and other gifts</c:v>
                </c:pt>
                <c:pt idx="10">
                  <c:v>Resource/Trophy Fees (purchase of resource, license, permits)</c:v>
                </c:pt>
                <c:pt idx="11">
                  <c:v>Local dip, pack, taxidermy</c:v>
                </c:pt>
                <c:pt idx="12">
                  <c:v>Gratuities and Tips</c:v>
                </c:pt>
                <c:pt idx="13">
                  <c:v>Other expenses</c:v>
                </c:pt>
              </c:strCache>
            </c:strRef>
          </c:cat>
          <c:val>
            <c:numRef>
              <c:f>MAIN!$O$19:$O$32</c:f>
              <c:numCache>
                <c:formatCode>0.00</c:formatCode>
                <c:ptCount val="14"/>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numCache>
            </c:numRef>
          </c:val>
          <c:extLst xmlns:c16r2="http://schemas.microsoft.com/office/drawing/2015/06/chart">
            <c:ext xmlns:c16="http://schemas.microsoft.com/office/drawing/2014/chart" uri="{C3380CC4-5D6E-409C-BE32-E72D297353CC}">
              <c16:uniqueId val="{00000000-01ED-406C-98A8-E4A8A5EF4610}"/>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08528416"/>
        <c:axId val="2108530880"/>
      </c:barChart>
      <c:catAx>
        <c:axId val="2108528416"/>
        <c:scaling>
          <c:orientation val="maxMin"/>
        </c:scaling>
        <c:delete val="0"/>
        <c:axPos val="l"/>
        <c:numFmt formatCode="General" sourceLinked="1"/>
        <c:majorTickMark val="cross"/>
        <c:minorTickMark val="cross"/>
        <c:tickLblPos val="nextTo"/>
        <c:txPr>
          <a:bodyPr/>
          <a:lstStyle/>
          <a:p>
            <a:pPr lvl="0">
              <a:defRPr sz="900" b="0" i="0">
                <a:solidFill>
                  <a:srgbClr val="595959"/>
                </a:solidFill>
              </a:defRPr>
            </a:pPr>
            <a:endParaRPr lang="en-US"/>
          </a:p>
        </c:txPr>
        <c:crossAx val="2108530880"/>
        <c:crosses val="autoZero"/>
        <c:auto val="1"/>
        <c:lblAlgn val="ctr"/>
        <c:lblOffset val="100"/>
        <c:noMultiLvlLbl val="1"/>
      </c:catAx>
      <c:valAx>
        <c:axId val="2108530880"/>
        <c:scaling>
          <c:orientation val="minMax"/>
        </c:scaling>
        <c:delete val="0"/>
        <c:axPos val="b"/>
        <c:majorGridlines>
          <c:spPr>
            <a:ln>
              <a:solidFill>
                <a:srgbClr val="D9D9D9"/>
              </a:solidFill>
            </a:ln>
          </c:spPr>
        </c:majorGridlines>
        <c:numFmt formatCode="0.00" sourceLinked="1"/>
        <c:majorTickMark val="cross"/>
        <c:minorTickMark val="cross"/>
        <c:tickLblPos val="nextTo"/>
        <c:spPr>
          <a:ln w="47625">
            <a:noFill/>
          </a:ln>
        </c:spPr>
        <c:txPr>
          <a:bodyPr/>
          <a:lstStyle/>
          <a:p>
            <a:pPr lvl="0">
              <a:defRPr sz="900" b="0" i="0">
                <a:solidFill>
                  <a:srgbClr val="595959"/>
                </a:solidFill>
              </a:defRPr>
            </a:pPr>
            <a:endParaRPr lang="en-US"/>
          </a:p>
        </c:txPr>
        <c:crossAx val="2108528416"/>
        <c:crosses val="max"/>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lvl="0">
              <a:defRPr sz="1600" b="1" i="0">
                <a:solidFill>
                  <a:srgbClr val="595959"/>
                </a:solidFill>
              </a:defRPr>
            </a:pPr>
            <a:r>
              <a:rPr lang="en-US"/>
              <a:t>Total Spending per Expenses Categories ($ 000's)</a:t>
            </a:r>
          </a:p>
        </c:rich>
      </c:tx>
      <c:layout/>
      <c:overlay val="0"/>
    </c:title>
    <c:autoTitleDeleted val="0"/>
    <c:plotArea>
      <c:layout/>
      <c:barChart>
        <c:barDir val="bar"/>
        <c:grouping val="clustered"/>
        <c:varyColors val="1"/>
        <c:ser>
          <c:idx val="0"/>
          <c:order val="0"/>
          <c:spPr>
            <a:solidFill>
              <a:srgbClr val="5B9BD5"/>
            </a:solidFill>
          </c:spPr>
          <c:invertIfNegative val="1"/>
          <c:cat>
            <c:strRef>
              <c:f>MAIN!$B$39:$B$52</c:f>
              <c:strCache>
                <c:ptCount val="14"/>
                <c:pt idx="0">
                  <c:v>All inclusive packages</c:v>
                </c:pt>
                <c:pt idx="1">
                  <c:v>Accomodation: Hotel, lodges, B&amp;B, bushcamps,...</c:v>
                </c:pt>
                <c:pt idx="2">
                  <c:v>Camping fees </c:v>
                </c:pt>
                <c:pt idx="3">
                  <c:v>Meals: Restaurants, bars,...</c:v>
                </c:pt>
                <c:pt idx="4">
                  <c:v>Groceries, </c:v>
                </c:pt>
                <c:pt idx="5">
                  <c:v>Gas &amp; oil </c:v>
                </c:pt>
                <c:pt idx="6">
                  <c:v>Local transportation </c:v>
                </c:pt>
                <c:pt idx="7">
                  <c:v>Admissions &amp; fees (PA entry)</c:v>
                </c:pt>
                <c:pt idx="8">
                  <c:v>Activities and Guided Tours (e.g. game drives)</c:v>
                </c:pt>
                <c:pt idx="9">
                  <c:v>Souvenirs and other gifts</c:v>
                </c:pt>
                <c:pt idx="10">
                  <c:v>Resource/Trophy Fees (purchase of resource, license, permits)</c:v>
                </c:pt>
                <c:pt idx="11">
                  <c:v>Local dip, pack, taxidermy</c:v>
                </c:pt>
                <c:pt idx="12">
                  <c:v>Gratuities and Tips</c:v>
                </c:pt>
                <c:pt idx="13">
                  <c:v>Other expenses</c:v>
                </c:pt>
              </c:strCache>
            </c:strRef>
          </c:cat>
          <c:val>
            <c:numRef>
              <c:f>MAIN!$O$39:$O$52</c:f>
              <c:numCache>
                <c:formatCode>" "* #,##0" ";" "* \(#,##0\);" "* "-"??" "</c:formatCode>
                <c:ptCount val="14"/>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numCache>
            </c:numRef>
          </c:val>
          <c:extLst xmlns:c16r2="http://schemas.microsoft.com/office/drawing/2015/06/chart">
            <c:ext xmlns:c16="http://schemas.microsoft.com/office/drawing/2014/chart" uri="{C3380CC4-5D6E-409C-BE32-E72D297353CC}">
              <c16:uniqueId val="{00000000-AA8F-4F29-81BE-8A6DA4ECE9B4}"/>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09333888"/>
        <c:axId val="2109336352"/>
      </c:barChart>
      <c:catAx>
        <c:axId val="2109333888"/>
        <c:scaling>
          <c:orientation val="maxMin"/>
        </c:scaling>
        <c:delete val="0"/>
        <c:axPos val="l"/>
        <c:numFmt formatCode="General" sourceLinked="1"/>
        <c:majorTickMark val="cross"/>
        <c:minorTickMark val="cross"/>
        <c:tickLblPos val="nextTo"/>
        <c:txPr>
          <a:bodyPr/>
          <a:lstStyle/>
          <a:p>
            <a:pPr lvl="0">
              <a:defRPr sz="900" b="0" i="0">
                <a:solidFill>
                  <a:srgbClr val="595959"/>
                </a:solidFill>
              </a:defRPr>
            </a:pPr>
            <a:endParaRPr lang="en-US"/>
          </a:p>
        </c:txPr>
        <c:crossAx val="2109336352"/>
        <c:crosses val="autoZero"/>
        <c:auto val="1"/>
        <c:lblAlgn val="ctr"/>
        <c:lblOffset val="100"/>
        <c:noMultiLvlLbl val="1"/>
      </c:catAx>
      <c:valAx>
        <c:axId val="2109336352"/>
        <c:scaling>
          <c:orientation val="minMax"/>
        </c:scaling>
        <c:delete val="0"/>
        <c:axPos val="b"/>
        <c:majorGridlines>
          <c:spPr>
            <a:ln>
              <a:solidFill>
                <a:srgbClr val="D9D9D9"/>
              </a:solidFill>
            </a:ln>
          </c:spPr>
        </c:majorGridlines>
        <c:numFmt formatCode="&quot; &quot;* #,##0&quot; &quot;;&quot; &quot;* \(#,##0\);&quot; &quot;* &quot;-&quot;??&quot; &quot;" sourceLinked="1"/>
        <c:majorTickMark val="cross"/>
        <c:minorTickMark val="cross"/>
        <c:tickLblPos val="nextTo"/>
        <c:spPr>
          <a:ln w="47625">
            <a:noFill/>
          </a:ln>
        </c:spPr>
        <c:txPr>
          <a:bodyPr/>
          <a:lstStyle/>
          <a:p>
            <a:pPr lvl="0">
              <a:defRPr sz="900" b="0" i="0">
                <a:solidFill>
                  <a:srgbClr val="595959"/>
                </a:solidFill>
              </a:defRPr>
            </a:pPr>
            <a:endParaRPr lang="en-US"/>
          </a:p>
        </c:txPr>
        <c:crossAx val="2109333888"/>
        <c:crosses val="max"/>
        <c:crossBetween val="between"/>
      </c:valAx>
      <c:spPr>
        <a:solidFill>
          <a:srgbClr val="FFFFFF"/>
        </a:solidFill>
      </c:spPr>
    </c:plotArea>
    <c:plotVisOnly val="1"/>
    <c:dispBlanksAs val="zero"/>
    <c:showDLblsOverMax val="1"/>
  </c:chart>
  <c:spPr>
    <a:solidFill>
      <a:srgbClr val="FFFFFF"/>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GRAPHS!$C$109</c:f>
              <c:strCache>
                <c:ptCount val="1"/>
                <c:pt idx="0">
                  <c:v>Total Value Added</c:v>
                </c:pt>
              </c:strCache>
            </c:strRef>
          </c:tx>
          <c:spPr>
            <a:solidFill>
              <a:srgbClr val="FFFF99"/>
            </a:solidFill>
            <a:ln>
              <a:noFill/>
            </a:ln>
            <a:effectLst/>
            <a:sp3d/>
          </c:spPr>
          <c:invertIfNegative val="0"/>
          <c:dPt>
            <c:idx val="0"/>
            <c:invertIfNegative val="0"/>
            <c:bubble3D val="0"/>
            <c:spPr>
              <a:solidFill>
                <a:srgbClr val="FFFF00">
                  <a:alpha val="66000"/>
                </a:srgbClr>
              </a:solidFill>
              <a:ln>
                <a:noFill/>
              </a:ln>
              <a:effectLst/>
              <a:sp3d/>
            </c:spPr>
            <c:extLst xmlns:c16r2="http://schemas.microsoft.com/office/drawing/2015/06/chart">
              <c:ext xmlns:c16="http://schemas.microsoft.com/office/drawing/2014/chart" uri="{C3380CC4-5D6E-409C-BE32-E72D297353CC}">
                <c16:uniqueId val="{0000000D-4C94-4267-80E6-EC9B49FE0F4F}"/>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GRAPHS!$C$110</c:f>
              <c:numCache>
                <c:formatCode>"$"#,##0</c:formatCode>
                <c:ptCount val="1"/>
                <c:pt idx="0">
                  <c:v>0.0</c:v>
                </c:pt>
              </c:numCache>
            </c:numRef>
          </c:val>
          <c:extLst xmlns:c16r2="http://schemas.microsoft.com/office/drawing/2015/06/chart">
            <c:ext xmlns:c16="http://schemas.microsoft.com/office/drawing/2014/chart" uri="{C3380CC4-5D6E-409C-BE32-E72D297353CC}">
              <c16:uniqueId val="{00000004-96BA-4301-84EB-3579E91A60A5}"/>
            </c:ext>
          </c:extLst>
        </c:ser>
        <c:ser>
          <c:idx val="1"/>
          <c:order val="1"/>
          <c:tx>
            <c:strRef>
              <c:f>GRAPHS!$D$109</c:f>
              <c:strCache>
                <c:ptCount val="1"/>
                <c:pt idx="0">
                  <c:v>Direct Value Added</c:v>
                </c:pt>
              </c:strCache>
            </c:strRef>
          </c:tx>
          <c:spPr>
            <a:solidFill>
              <a:srgbClr val="00B0F0"/>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GRAPHS!$D$110</c:f>
              <c:numCache>
                <c:formatCode>"$"#,##0</c:formatCode>
                <c:ptCount val="1"/>
                <c:pt idx="0">
                  <c:v>0.0</c:v>
                </c:pt>
              </c:numCache>
            </c:numRef>
          </c:val>
          <c:extLst xmlns:c16r2="http://schemas.microsoft.com/office/drawing/2015/06/chart">
            <c:ext xmlns:c16="http://schemas.microsoft.com/office/drawing/2014/chart" uri="{C3380CC4-5D6E-409C-BE32-E72D297353CC}">
              <c16:uniqueId val="{00000007-96BA-4301-84EB-3579E91A60A5}"/>
            </c:ext>
          </c:extLst>
        </c:ser>
        <c:ser>
          <c:idx val="2"/>
          <c:order val="2"/>
          <c:tx>
            <c:strRef>
              <c:f>GRAPHS!$E$109</c:f>
              <c:strCache>
                <c:ptCount val="1"/>
                <c:pt idx="0">
                  <c:v>Park Budget</c:v>
                </c:pt>
              </c:strCache>
            </c:strRef>
          </c:tx>
          <c:spPr>
            <a:solidFill>
              <a:srgbClr val="92D050"/>
            </a:solidFill>
            <a:ln>
              <a:noFill/>
            </a:ln>
            <a:effectLst/>
            <a:sp3d/>
          </c:spPr>
          <c:invertIfNegative val="0"/>
          <c:dLbls>
            <c:dLbl>
              <c:idx val="0"/>
              <c:layout>
                <c:manualLayout>
                  <c:x val="0.130952360493632"/>
                  <c:y val="0.0106106365351546"/>
                </c:manualLayout>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1-4C94-4267-80E6-EC9B49FE0F4F}"/>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GRAPHS!$E$110</c:f>
              <c:numCache>
                <c:formatCode>"$"#,##0</c:formatCode>
                <c:ptCount val="1"/>
                <c:pt idx="0">
                  <c:v>3.0E6</c:v>
                </c:pt>
              </c:numCache>
            </c:numRef>
          </c:val>
          <c:extLst xmlns:c16r2="http://schemas.microsoft.com/office/drawing/2015/06/chart">
            <c:ext xmlns:c16="http://schemas.microsoft.com/office/drawing/2014/chart" uri="{C3380CC4-5D6E-409C-BE32-E72D297353CC}">
              <c16:uniqueId val="{00000000-4C94-4267-80E6-EC9B49FE0F4F}"/>
            </c:ext>
          </c:extLst>
        </c:ser>
        <c:dLbls>
          <c:showLegendKey val="0"/>
          <c:showVal val="0"/>
          <c:showCatName val="0"/>
          <c:showSerName val="0"/>
          <c:showPercent val="0"/>
          <c:showBubbleSize val="0"/>
        </c:dLbls>
        <c:gapWidth val="50"/>
        <c:gapDepth val="180"/>
        <c:shape val="pyramid"/>
        <c:axId val="2086090848"/>
        <c:axId val="2086094128"/>
        <c:axId val="0"/>
      </c:bar3DChart>
      <c:catAx>
        <c:axId val="2086090848"/>
        <c:scaling>
          <c:orientation val="minMax"/>
        </c:scaling>
        <c:delete val="0"/>
        <c:axPos val="t"/>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6094128"/>
        <c:crosses val="autoZero"/>
        <c:auto val="1"/>
        <c:lblAlgn val="ctr"/>
        <c:lblOffset val="100"/>
        <c:noMultiLvlLbl val="0"/>
      </c:catAx>
      <c:valAx>
        <c:axId val="2086094128"/>
        <c:scaling>
          <c:orientation val="maxMin"/>
        </c:scaling>
        <c:delete val="0"/>
        <c:axPos val="l"/>
        <c:majorGridlines>
          <c:spPr>
            <a:ln w="9525" cap="flat" cmpd="sng" algn="ctr">
              <a:noFill/>
              <a:round/>
            </a:ln>
            <a:effectLst/>
          </c:spPr>
        </c:majorGridlines>
        <c:numFmt formatCode="&quot;$&quot;#,##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60908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57150</xdr:colOff>
      <xdr:row>4</xdr:row>
      <xdr:rowOff>209550</xdr:rowOff>
    </xdr:from>
    <xdr:to>
      <xdr:col>8</xdr:col>
      <xdr:colOff>409575</xdr:colOff>
      <xdr:row>25</xdr:row>
      <xdr:rowOff>133350</xdr:rowOff>
    </xdr:to>
    <xdr:sp macro="" textlink="">
      <xdr:nvSpPr>
        <xdr:cNvPr id="2" name="Text Box 1">
          <a:extLst>
            <a:ext uri="{FF2B5EF4-FFF2-40B4-BE49-F238E27FC236}">
              <a16:creationId xmlns="" xmlns:a16="http://schemas.microsoft.com/office/drawing/2014/main" id="{00000000-0008-0000-0000-000002000000}"/>
            </a:ext>
          </a:extLst>
        </xdr:cNvPr>
        <xdr:cNvSpPr txBox="1">
          <a:spLocks noChangeArrowheads="1"/>
        </xdr:cNvSpPr>
      </xdr:nvSpPr>
      <xdr:spPr bwMode="auto">
        <a:xfrm>
          <a:off x="666750" y="895350"/>
          <a:ext cx="4787265" cy="3459480"/>
        </a:xfrm>
        <a:prstGeom prst="rect">
          <a:avLst/>
        </a:prstGeom>
        <a:solidFill>
          <a:srgbClr val="CCFFCC"/>
        </a:solidFill>
        <a:ln w="57150" cmpd="thickThin">
          <a:solidFill>
            <a:srgbClr val="000000"/>
          </a:solidFill>
          <a:miter lim="800000"/>
          <a:headEnd/>
          <a:tailEnd/>
        </a:ln>
      </xdr:spPr>
      <xdr:txBody>
        <a:bodyPr vertOverflow="clip" wrap="square" lIns="36576" tIns="27432" rIns="0" bIns="0" anchor="t" upright="1"/>
        <a:lstStyle/>
        <a:p>
          <a:pPr algn="l" rtl="0">
            <a:defRPr sz="1000"/>
          </a:pPr>
          <a:r>
            <a:rPr lang="en-US" sz="1400" b="1" i="0" strike="noStrike">
              <a:solidFill>
                <a:srgbClr val="000000"/>
              </a:solidFill>
              <a:latin typeface="Arial"/>
              <a:cs typeface="Arial"/>
            </a:rPr>
            <a:t>Estimating Economic Impacts of Visitor Spending to Protected Areas</a:t>
          </a:r>
          <a:r>
            <a:rPr lang="en-US" sz="1400" b="1" i="0" strike="noStrike" baseline="0">
              <a:solidFill>
                <a:srgbClr val="000000"/>
              </a:solidFill>
              <a:latin typeface="Arial"/>
              <a:cs typeface="Arial"/>
            </a:rPr>
            <a:t> in Developing Countries </a:t>
          </a: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Steps to complete an analysis are:</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1. Go to</a:t>
          </a:r>
          <a:r>
            <a:rPr lang="en-US" sz="1000" b="0" i="0" strike="noStrike" baseline="0">
              <a:solidFill>
                <a:srgbClr val="000000"/>
              </a:solidFill>
              <a:latin typeface="Arial"/>
              <a:cs typeface="Arial"/>
            </a:rPr>
            <a:t> the "Main" page and follow the steps on the page to</a:t>
          </a:r>
        </a:p>
        <a:p>
          <a:pPr algn="l" rtl="0">
            <a:defRPr sz="1000"/>
          </a:pPr>
          <a:r>
            <a:rPr lang="en-US" sz="1000" b="0" i="0" strike="noStrike" baseline="0">
              <a:solidFill>
                <a:srgbClr val="000000"/>
              </a:solidFill>
              <a:latin typeface="Arial"/>
              <a:cs typeface="Arial"/>
            </a:rPr>
            <a:t>	a. Define study area, country, and enter park information</a:t>
          </a:r>
        </a:p>
        <a:p>
          <a:pPr algn="l" rtl="0">
            <a:defRPr sz="1000"/>
          </a:pPr>
          <a:r>
            <a:rPr lang="en-US" sz="1000" b="0" i="0" strike="noStrike" baseline="0">
              <a:solidFill>
                <a:srgbClr val="000000"/>
              </a:solidFill>
              <a:latin typeface="Arial"/>
              <a:cs typeface="Arial"/>
            </a:rPr>
            <a:t>	b. Enter the segments and number of visitors in the region (up to 12)</a:t>
          </a:r>
        </a:p>
        <a:p>
          <a:pPr algn="l" rtl="0">
            <a:defRPr sz="1000"/>
          </a:pPr>
          <a:r>
            <a:rPr lang="en-US" sz="1000" b="0" i="0" strike="noStrike" baseline="0">
              <a:solidFill>
                <a:srgbClr val="000000"/>
              </a:solidFill>
              <a:latin typeface="Arial"/>
              <a:cs typeface="Arial"/>
            </a:rPr>
            <a:t>	c. Enter spending averages: On a per unit specified for each segment</a:t>
          </a:r>
        </a:p>
        <a:p>
          <a:pPr algn="l" rtl="0">
            <a:defRPr sz="1000"/>
          </a:pPr>
          <a:r>
            <a:rPr lang="en-US" sz="1000" b="0" i="0" strike="noStrike" baseline="0">
              <a:solidFill>
                <a:srgbClr val="000000"/>
              </a:solidFill>
              <a:latin typeface="Arial"/>
              <a:cs typeface="Arial"/>
            </a:rPr>
            <a:t>	d. Computation of Direct Effects is automatically calculated</a:t>
          </a:r>
        </a:p>
        <a:p>
          <a:pPr algn="l" rtl="0">
            <a:defRPr sz="1000"/>
          </a:pPr>
          <a:r>
            <a:rPr lang="en-US" sz="1000" b="0" i="0" strike="noStrike" baseline="0">
              <a:solidFill>
                <a:srgbClr val="000000"/>
              </a:solidFill>
              <a:latin typeface="Arial"/>
              <a:cs typeface="Arial"/>
            </a:rPr>
            <a:t>	e. Enter tax rates in to compute tax revenue</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2. View and/or Print Results - SUMMARY Page</a:t>
          </a:r>
        </a:p>
        <a:p>
          <a:pPr algn="l" rtl="0">
            <a:defRPr sz="1000"/>
          </a:pPr>
          <a:r>
            <a:rPr lang="en-US" sz="1000" b="0" i="0" strike="noStrike">
              <a:solidFill>
                <a:srgbClr val="000000"/>
              </a:solidFill>
              <a:latin typeface="Arial"/>
              <a:cs typeface="Arial"/>
            </a:rPr>
            <a:t>   3. Review Charts and Graphs</a:t>
          </a:r>
        </a:p>
        <a:p>
          <a:pPr algn="l" rtl="0">
            <a:defRPr sz="1000"/>
          </a:pPr>
          <a:r>
            <a:rPr lang="en-US" sz="1000" b="0" i="0" strike="noStrike">
              <a:solidFill>
                <a:srgbClr val="000000"/>
              </a:solidFill>
              <a:latin typeface="Arial"/>
              <a:cs typeface="Arial"/>
            </a:rPr>
            <a:t>   </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Developed</a:t>
          </a:r>
          <a:r>
            <a:rPr lang="en-US" sz="1000" b="0" i="0" strike="noStrike" baseline="0">
              <a:solidFill>
                <a:srgbClr val="000000"/>
              </a:solidFill>
              <a:latin typeface="Arial"/>
              <a:cs typeface="Arial"/>
            </a:rPr>
            <a:t> By Thiago Souza, Alex Chidakel, Wen-Huei Chang &amp; Brian Child</a:t>
          </a: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1" strike="noStrike">
              <a:solidFill>
                <a:srgbClr val="000000"/>
              </a:solidFill>
              <a:latin typeface="Arial"/>
              <a:cs typeface="Arial"/>
            </a:rPr>
            <a:t>Based on the MGM2 Model developed by:</a:t>
          </a:r>
        </a:p>
        <a:p>
          <a:pPr algn="l" rtl="0">
            <a:defRPr sz="1000"/>
          </a:pPr>
          <a:r>
            <a:rPr lang="en-US" sz="1000" b="0" i="1" strike="noStrike">
              <a:solidFill>
                <a:srgbClr val="000000"/>
              </a:solidFill>
              <a:latin typeface="Arial"/>
              <a:cs typeface="Arial"/>
            </a:rPr>
            <a:t>Drs.</a:t>
          </a:r>
          <a:r>
            <a:rPr lang="en-US" sz="1000" b="0" i="1" strike="noStrike" baseline="0">
              <a:solidFill>
                <a:srgbClr val="000000"/>
              </a:solidFill>
              <a:latin typeface="Arial"/>
              <a:cs typeface="Arial"/>
            </a:rPr>
            <a:t> </a:t>
          </a:r>
          <a:r>
            <a:rPr lang="en-US" sz="1000" b="0" i="1" strike="noStrike">
              <a:solidFill>
                <a:srgbClr val="000000"/>
              </a:solidFill>
              <a:latin typeface="Arial"/>
              <a:cs typeface="Arial"/>
            </a:rPr>
            <a:t>Daniel Stynes, Dennis Propst, Wen-Huei Chang, and Ya-Yen Sun, </a:t>
          </a:r>
        </a:p>
        <a:p>
          <a:pPr algn="l" rtl="0">
            <a:defRPr sz="1000"/>
          </a:pPr>
          <a:r>
            <a:rPr lang="en-US" sz="1000" b="0" i="1" strike="noStrike">
              <a:solidFill>
                <a:srgbClr val="000000"/>
              </a:solidFill>
              <a:latin typeface="Arial"/>
              <a:cs typeface="Arial"/>
            </a:rPr>
            <a:t>Department of Park, Recreation, and Tourism Resources ,  Michigan State University</a:t>
          </a:r>
          <a:endParaRPr lang="en-US" sz="1000" b="0" i="0" strike="noStrike">
            <a:solidFill>
              <a:srgbClr val="000000"/>
            </a:solidFill>
            <a:latin typeface="Helv"/>
          </a:endParaRPr>
        </a:p>
        <a:p>
          <a:pPr algn="l" rtl="0">
            <a:defRPr sz="1000"/>
          </a:pPr>
          <a:endParaRPr lang="en-US" sz="1000" b="0" i="0" strike="noStrike">
            <a:solidFill>
              <a:srgbClr val="000000"/>
            </a:solidFill>
            <a:latin typeface="Helv"/>
          </a:endParaRPr>
        </a:p>
      </xdr:txBody>
    </xdr:sp>
    <xdr:clientData/>
  </xdr:twoCellAnchor>
  <xdr:twoCellAnchor>
    <xdr:from>
      <xdr:col>1</xdr:col>
      <xdr:colOff>57150</xdr:colOff>
      <xdr:row>1</xdr:row>
      <xdr:rowOff>76200</xdr:rowOff>
    </xdr:from>
    <xdr:to>
      <xdr:col>8</xdr:col>
      <xdr:colOff>409575</xdr:colOff>
      <xdr:row>4</xdr:row>
      <xdr:rowOff>200025</xdr:rowOff>
    </xdr:to>
    <xdr:sp macro="" textlink="">
      <xdr:nvSpPr>
        <xdr:cNvPr id="3" name="Text Box 4">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66750" y="236220"/>
          <a:ext cx="4787265" cy="649605"/>
        </a:xfrm>
        <a:prstGeom prst="rect">
          <a:avLst/>
        </a:prstGeom>
        <a:solidFill>
          <a:srgbClr val="FF0000"/>
        </a:solidFill>
        <a:ln w="57150" cmpd="thickThin">
          <a:solidFill>
            <a:srgbClr val="000000"/>
          </a:solidFill>
          <a:miter lim="800000"/>
          <a:headEnd/>
          <a:tailEnd/>
        </a:ln>
      </xdr:spPr>
      <xdr:txBody>
        <a:bodyPr vertOverflow="clip" wrap="square" lIns="45720" tIns="45720" rIns="45720" bIns="0" anchor="t" upright="1"/>
        <a:lstStyle/>
        <a:p>
          <a:pPr algn="ctr" rtl="0">
            <a:defRPr sz="1000"/>
          </a:pPr>
          <a:r>
            <a:rPr lang="en-US" sz="1400" b="0" i="0" strike="noStrike">
              <a:solidFill>
                <a:srgbClr val="FFFF00"/>
              </a:solidFill>
              <a:latin typeface="Arial Black"/>
            </a:rPr>
            <a:t>Tourism Economic Model for</a:t>
          </a:r>
          <a:r>
            <a:rPr lang="en-US" sz="1400" b="0" i="0" strike="noStrike" baseline="0">
              <a:solidFill>
                <a:srgbClr val="FFFF00"/>
              </a:solidFill>
              <a:latin typeface="Arial Black"/>
            </a:rPr>
            <a:t> Protected Areas</a:t>
          </a:r>
        </a:p>
        <a:p>
          <a:pPr algn="ctr" rtl="0">
            <a:defRPr sz="1000"/>
          </a:pPr>
          <a:r>
            <a:rPr lang="en-US" sz="1400" b="0" i="0" strike="noStrike" baseline="0">
              <a:solidFill>
                <a:srgbClr val="FFFF00"/>
              </a:solidFill>
              <a:latin typeface="Arial Black"/>
            </a:rPr>
            <a:t>TEMPA</a:t>
          </a:r>
          <a:endParaRPr lang="en-US" sz="1600" b="0" i="0" strike="noStrike">
            <a:solidFill>
              <a:srgbClr val="FFFF00"/>
            </a:solidFill>
            <a:latin typeface="Arial Black"/>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45</xdr:row>
      <xdr:rowOff>9525</xdr:rowOff>
    </xdr:to>
    <xdr:sp macro="" textlink="">
      <xdr:nvSpPr>
        <xdr:cNvPr id="2068" name="Rectangle 20" hidden="1">
          <a:extLst>
            <a:ext uri="{FF2B5EF4-FFF2-40B4-BE49-F238E27FC236}">
              <a16:creationId xmlns="" xmlns:a16="http://schemas.microsoft.com/office/drawing/2014/main" id="{00000000-0008-0000-0100-000014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0</xdr:colOff>
      <xdr:row>45</xdr:row>
      <xdr:rowOff>9525</xdr:rowOff>
    </xdr:to>
    <xdr:sp macro="" textlink="">
      <xdr:nvSpPr>
        <xdr:cNvPr id="2" name="AutoShape 20">
          <a:extLst>
            <a:ext uri="{FF2B5EF4-FFF2-40B4-BE49-F238E27FC236}">
              <a16:creationId xmlns="" xmlns:a16="http://schemas.microsoft.com/office/drawing/2014/main" id="{00000000-0008-0000-0100-00000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0</xdr:colOff>
      <xdr:row>45</xdr:row>
      <xdr:rowOff>9525</xdr:rowOff>
    </xdr:to>
    <xdr:sp macro="" textlink="">
      <xdr:nvSpPr>
        <xdr:cNvPr id="3" name="AutoShape 20">
          <a:extLst>
            <a:ext uri="{FF2B5EF4-FFF2-40B4-BE49-F238E27FC236}">
              <a16:creationId xmlns="" xmlns:a16="http://schemas.microsoft.com/office/drawing/2014/main" id="{00000000-0008-0000-0100-000003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15240</xdr:colOff>
      <xdr:row>45</xdr:row>
      <xdr:rowOff>91440</xdr:rowOff>
    </xdr:to>
    <xdr:sp macro="" textlink="">
      <xdr:nvSpPr>
        <xdr:cNvPr id="4" name="AutoShape 20">
          <a:extLst>
            <a:ext uri="{FF2B5EF4-FFF2-40B4-BE49-F238E27FC236}">
              <a16:creationId xmlns="" xmlns:a16="http://schemas.microsoft.com/office/drawing/2014/main" id="{00000000-0008-0000-01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15240</xdr:colOff>
      <xdr:row>45</xdr:row>
      <xdr:rowOff>91440</xdr:rowOff>
    </xdr:to>
    <xdr:sp macro="" textlink="">
      <xdr:nvSpPr>
        <xdr:cNvPr id="5" name="AutoShape 20">
          <a:extLst>
            <a:ext uri="{FF2B5EF4-FFF2-40B4-BE49-F238E27FC236}">
              <a16:creationId xmlns="" xmlns:a16="http://schemas.microsoft.com/office/drawing/2014/main" id="{00000000-0008-0000-0100-000005000000}"/>
            </a:ext>
          </a:extLst>
        </xdr:cNvPr>
        <xdr:cNvSpPr>
          <a:spLocks noChangeArrowheads="1"/>
        </xdr:cNvSpPr>
      </xdr:nvSpPr>
      <xdr:spPr bwMode="auto">
        <a:xfrm>
          <a:off x="0" y="0"/>
          <a:ext cx="978408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19050</xdr:colOff>
      <xdr:row>20</xdr:row>
      <xdr:rowOff>38100</xdr:rowOff>
    </xdr:to>
    <xdr:graphicFrame macro="">
      <xdr:nvGraphicFramePr>
        <xdr:cNvPr id="2" name="Chart 1" title="Chart">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22</xdr:row>
      <xdr:rowOff>0</xdr:rowOff>
    </xdr:from>
    <xdr:to>
      <xdr:col>8</xdr:col>
      <xdr:colOff>19050</xdr:colOff>
      <xdr:row>40</xdr:row>
      <xdr:rowOff>161925</xdr:rowOff>
    </xdr:to>
    <xdr:graphicFrame macro="">
      <xdr:nvGraphicFramePr>
        <xdr:cNvPr id="3" name="Chart 2">
          <a:extLst>
            <a:ext uri="{FF2B5EF4-FFF2-40B4-BE49-F238E27FC236}">
              <a16:creationId xmlns=""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42</xdr:row>
      <xdr:rowOff>200025</xdr:rowOff>
    </xdr:from>
    <xdr:to>
      <xdr:col>8</xdr:col>
      <xdr:colOff>19050</xdr:colOff>
      <xdr:row>63</xdr:row>
      <xdr:rowOff>123825</xdr:rowOff>
    </xdr:to>
    <xdr:graphicFrame macro="">
      <xdr:nvGraphicFramePr>
        <xdr:cNvPr id="4" name="Chart 3">
          <a:extLst>
            <a:ext uri="{FF2B5EF4-FFF2-40B4-BE49-F238E27FC236}">
              <a16:creationId xmlns=""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65</xdr:row>
      <xdr:rowOff>0</xdr:rowOff>
    </xdr:from>
    <xdr:to>
      <xdr:col>8</xdr:col>
      <xdr:colOff>57150</xdr:colOff>
      <xdr:row>84</xdr:row>
      <xdr:rowOff>152400</xdr:rowOff>
    </xdr:to>
    <xdr:graphicFrame macro="">
      <xdr:nvGraphicFramePr>
        <xdr:cNvPr id="5" name="Chart 4">
          <a:extLst>
            <a:ext uri="{FF2B5EF4-FFF2-40B4-BE49-F238E27FC236}">
              <a16:creationId xmlns=""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0</xdr:col>
      <xdr:colOff>0</xdr:colOff>
      <xdr:row>86</xdr:row>
      <xdr:rowOff>200025</xdr:rowOff>
    </xdr:from>
    <xdr:to>
      <xdr:col>8</xdr:col>
      <xdr:colOff>85725</xdr:colOff>
      <xdr:row>105</xdr:row>
      <xdr:rowOff>180975</xdr:rowOff>
    </xdr:to>
    <xdr:graphicFrame macro="">
      <xdr:nvGraphicFramePr>
        <xdr:cNvPr id="6" name="Chart 5">
          <a:extLst>
            <a:ext uri="{FF2B5EF4-FFF2-40B4-BE49-F238E27FC236}">
              <a16:creationId xmlns=""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19049</xdr:colOff>
      <xdr:row>110</xdr:row>
      <xdr:rowOff>38100</xdr:rowOff>
    </xdr:from>
    <xdr:to>
      <xdr:col>8</xdr:col>
      <xdr:colOff>19050</xdr:colOff>
      <xdr:row>128</xdr:row>
      <xdr:rowOff>28575</xdr:rowOff>
    </xdr:to>
    <xdr:graphicFrame macro="">
      <xdr:nvGraphicFramePr>
        <xdr:cNvPr id="7" name="Chart 6">
          <a:extLst>
            <a:ext uri="{FF2B5EF4-FFF2-40B4-BE49-F238E27FC236}">
              <a16:creationId xmlns="" xmlns:a16="http://schemas.microsoft.com/office/drawing/2014/main" id="{FF742F0D-9ADD-427C-91CE-9D6CCBBC30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85725</xdr:colOff>
      <xdr:row>49</xdr:row>
      <xdr:rowOff>190500</xdr:rowOff>
    </xdr:to>
    <xdr:sp macro="" textlink="">
      <xdr:nvSpPr>
        <xdr:cNvPr id="1040" name="Rectangle 16" hidden="1">
          <a:extLst>
            <a:ext uri="{FF2B5EF4-FFF2-40B4-BE49-F238E27FC236}">
              <a16:creationId xmlns="" xmlns:a16="http://schemas.microsoft.com/office/drawing/2014/main" id="{00000000-0008-0000-0300-000010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85725</xdr:colOff>
      <xdr:row>49</xdr:row>
      <xdr:rowOff>190500</xdr:rowOff>
    </xdr:to>
    <xdr:sp macro="" textlink="">
      <xdr:nvSpPr>
        <xdr:cNvPr id="2" name="AutoShape 16">
          <a:extLst>
            <a:ext uri="{FF2B5EF4-FFF2-40B4-BE49-F238E27FC236}">
              <a16:creationId xmlns="" xmlns:a16="http://schemas.microsoft.com/office/drawing/2014/main" id="{00000000-0008-0000-0300-00000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85725</xdr:colOff>
      <xdr:row>49</xdr:row>
      <xdr:rowOff>190500</xdr:rowOff>
    </xdr:to>
    <xdr:sp macro="" textlink="">
      <xdr:nvSpPr>
        <xdr:cNvPr id="3" name="AutoShape 16">
          <a:extLst>
            <a:ext uri="{FF2B5EF4-FFF2-40B4-BE49-F238E27FC236}">
              <a16:creationId xmlns="" xmlns:a16="http://schemas.microsoft.com/office/drawing/2014/main" id="{00000000-0008-0000-0300-000003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106680</xdr:colOff>
      <xdr:row>49</xdr:row>
      <xdr:rowOff>335280</xdr:rowOff>
    </xdr:to>
    <xdr:sp macro="" textlink="">
      <xdr:nvSpPr>
        <xdr:cNvPr id="4" name="AutoShape 16">
          <a:extLst>
            <a:ext uri="{FF2B5EF4-FFF2-40B4-BE49-F238E27FC236}">
              <a16:creationId xmlns="" xmlns:a16="http://schemas.microsoft.com/office/drawing/2014/main" id="{00000000-0008-0000-03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365760</xdr:colOff>
      <xdr:row>45</xdr:row>
      <xdr:rowOff>152400</xdr:rowOff>
    </xdr:to>
    <xdr:sp macro="" textlink="">
      <xdr:nvSpPr>
        <xdr:cNvPr id="1042" name="AutoShape 18">
          <a:extLst>
            <a:ext uri="{FF2B5EF4-FFF2-40B4-BE49-F238E27FC236}">
              <a16:creationId xmlns="" xmlns:a16="http://schemas.microsoft.com/office/drawing/2014/main" id="{00000000-0008-0000-0300-000012040000}"/>
            </a:ext>
          </a:extLst>
        </xdr:cNvPr>
        <xdr:cNvSpPr>
          <a:spLocks noChangeArrowheads="1"/>
        </xdr:cNvSpPr>
      </xdr:nvSpPr>
      <xdr:spPr bwMode="auto">
        <a:xfrm>
          <a:off x="0" y="0"/>
          <a:ext cx="978408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106680</xdr:colOff>
      <xdr:row>44</xdr:row>
      <xdr:rowOff>335280</xdr:rowOff>
    </xdr:to>
    <xdr:sp macro="" textlink="">
      <xdr:nvSpPr>
        <xdr:cNvPr id="5" name="AutoShape 16">
          <a:extLst>
            <a:ext uri="{FF2B5EF4-FFF2-40B4-BE49-F238E27FC236}">
              <a16:creationId xmlns="" xmlns:a16="http://schemas.microsoft.com/office/drawing/2014/main" id="{00000000-0008-0000-0300-000005000000}"/>
            </a:ext>
          </a:extLst>
        </xdr:cNvPr>
        <xdr:cNvSpPr>
          <a:spLocks noChangeArrowheads="1"/>
        </xdr:cNvSpPr>
      </xdr:nvSpPr>
      <xdr:spPr bwMode="auto">
        <a:xfrm>
          <a:off x="0" y="0"/>
          <a:ext cx="9525000" cy="9372600"/>
        </a:xfrm>
        <a:custGeom>
          <a:avLst/>
          <a:gdLst/>
          <a:ahLst/>
          <a:cxnLst/>
          <a:rect l="0" t="0" r="0" b="0"/>
          <a:pathLst/>
        </a:cu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hiagosouza/Documents/CEGVI/Contribuic&#807;o&#771;es%20Econo&#770;micas/Cena&#769;rio%2018%20unidades/C:\Users\Q0IWRWHC\OneDrive\EcoSystem\CapeTown\NEWREAS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0b\stynes\nps\forzip2\MGM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VISIT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TS"/>
    </sheetNames>
    <sheetDataSet>
      <sheetData sheetId="0" refreshError="1"/>
    </sheetDataSet>
  </externalBook>
</externalLink>
</file>

<file path=xl/tables/table1.xml><?xml version="1.0" encoding="utf-8"?>
<table xmlns="http://schemas.openxmlformats.org/spreadsheetml/2006/main" id="1" name="Rural" displayName="Rural" ref="B2:J14" totalsRowShown="0" headerRowDxfId="64" dataDxfId="62" headerRowBorderDxfId="63" tableBorderDxfId="61">
  <autoFilter ref="B2:J14"/>
  <tableColumns count="9">
    <tableColumn id="1" name="direct jobs" dataDxfId="60"/>
    <tableColumn id="2" name="direct income" dataDxfId="59"/>
    <tableColumn id="3" name="direct value added" dataDxfId="58"/>
    <tableColumn id="4" name="total output" dataDxfId="57"/>
    <tableColumn id="5" name="total jobs" dataDxfId="56"/>
    <tableColumn id="6" name="total income" dataDxfId="55"/>
    <tableColumn id="7" name="total value added" dataDxfId="54"/>
    <tableColumn id="8" name="indirect output" dataDxfId="53"/>
    <tableColumn id="9" name="local prod" dataDxfId="52">
      <calculatedColumnFormula>AW3</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SmallerMetro" displayName="SmallerMetro" ref="B17:J29" totalsRowShown="0" headerRowDxfId="51" dataDxfId="49" headerRowBorderDxfId="50" tableBorderDxfId="48">
  <autoFilter ref="B17:J29"/>
  <tableColumns count="9">
    <tableColumn id="1" name="direct jobs" dataDxfId="47"/>
    <tableColumn id="2" name="direct income" dataDxfId="46"/>
    <tableColumn id="3" name="direct value added" dataDxfId="45"/>
    <tableColumn id="4" name="total output" dataDxfId="44"/>
    <tableColumn id="5" name="total jobs" dataDxfId="43"/>
    <tableColumn id="6" name="total income" dataDxfId="42"/>
    <tableColumn id="7" name="total value added" dataDxfId="41"/>
    <tableColumn id="8" name="indirect output" dataDxfId="40"/>
    <tableColumn id="9" name="local prod" dataDxfId="39">
      <calculatedColumnFormula>AW18</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3" name="LargerMetro" displayName="LargerMetro" ref="B32:J44" totalsRowShown="0" headerRowDxfId="38" dataDxfId="36" headerRowBorderDxfId="37" tableBorderDxfId="35">
  <autoFilter ref="B32:J44"/>
  <tableColumns count="9">
    <tableColumn id="1" name="direct jobs" dataDxfId="34"/>
    <tableColumn id="2" name="direct income" dataDxfId="33"/>
    <tableColumn id="3" name="direct value added" dataDxfId="32"/>
    <tableColumn id="4" name="total output" dataDxfId="31"/>
    <tableColumn id="5" name="total jobs" dataDxfId="30"/>
    <tableColumn id="6" name="total income" dataDxfId="29"/>
    <tableColumn id="7" name="total value added" dataDxfId="28"/>
    <tableColumn id="8" name="indirect output" dataDxfId="27"/>
    <tableColumn id="9" name="local prod" dataDxfId="26">
      <calculatedColumnFormula>AW33</calculatedColumnFormula>
    </tableColumn>
  </tableColumns>
  <tableStyleInfo name="TableStyleMedium2" showFirstColumn="0" showLastColumn="0" showRowStripes="1" showColumnStripes="0"/>
</table>
</file>

<file path=xl/tables/table4.xml><?xml version="1.0" encoding="utf-8"?>
<table xmlns="http://schemas.openxmlformats.org/spreadsheetml/2006/main" id="4" name="Province" displayName="Province" ref="B47:J59" totalsRowShown="0" headerRowDxfId="25" dataDxfId="23" headerRowBorderDxfId="24" tableBorderDxfId="22">
  <autoFilter ref="B47:J59"/>
  <tableColumns count="9">
    <tableColumn id="1" name="direct jobs" dataDxfId="21"/>
    <tableColumn id="2" name="direct income" dataDxfId="20"/>
    <tableColumn id="3" name="direct value added" dataDxfId="19"/>
    <tableColumn id="4" name="total output" dataDxfId="18"/>
    <tableColumn id="5" name="total jobs" dataDxfId="17"/>
    <tableColumn id="6" name="total income" dataDxfId="16"/>
    <tableColumn id="7" name="total value added" dataDxfId="15"/>
    <tableColumn id="8" name="indirect output" dataDxfId="14"/>
    <tableColumn id="9" name="local prod" dataDxfId="13">
      <calculatedColumnFormula>AW48</calculatedColumnFormula>
    </tableColumn>
  </tableColumns>
  <tableStyleInfo name="TableStyleMedium2" showFirstColumn="0" showLastColumn="0" showRowStripes="1" showColumnStripes="0"/>
</table>
</file>

<file path=xl/tables/table5.xml><?xml version="1.0" encoding="utf-8"?>
<table xmlns="http://schemas.openxmlformats.org/spreadsheetml/2006/main" id="21" name="Province22" displayName="Province22" ref="B62:J74" totalsRowShown="0" headerRowDxfId="12" dataDxfId="10" headerRowBorderDxfId="11" tableBorderDxfId="9">
  <autoFilter ref="B62:J74"/>
  <tableColumns count="9">
    <tableColumn id="1" name="direct jobs" dataDxfId="8"/>
    <tableColumn id="2" name="direct income" dataDxfId="7"/>
    <tableColumn id="3" name="direct value added" dataDxfId="6"/>
    <tableColumn id="4" name="total output" dataDxfId="5"/>
    <tableColumn id="5" name="total jobs" dataDxfId="4"/>
    <tableColumn id="6" name="total income" dataDxfId="3"/>
    <tableColumn id="7" name="total value added" dataDxfId="2"/>
    <tableColumn id="8" name="indirect output" dataDxfId="1"/>
    <tableColumn id="9" name="local prod" dataDxfId="0">
      <calculatedColumnFormula>AW63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 Id="rId3" Type="http://schemas.openxmlformats.org/officeDocument/2006/relationships/image" Target="../media/image1.jpeg"/></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omments" Target="../comments1.xml"/><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4" Type="http://schemas.openxmlformats.org/officeDocument/2006/relationships/table" Target="../tables/table2.xml"/><Relationship Id="rId5" Type="http://schemas.openxmlformats.org/officeDocument/2006/relationships/table" Target="../tables/table3.xml"/><Relationship Id="rId6" Type="http://schemas.openxmlformats.org/officeDocument/2006/relationships/table" Target="../tables/table4.xml"/><Relationship Id="rId7" Type="http://schemas.openxmlformats.org/officeDocument/2006/relationships/table" Target="../tables/table5.xml"/><Relationship Id="rId8" Type="http://schemas.openxmlformats.org/officeDocument/2006/relationships/comments" Target="../comments3.xml"/><Relationship Id="rId1" Type="http://schemas.openxmlformats.org/officeDocument/2006/relationships/printerSettings" Target="../printerSettings/printerSettings4.bin"/><Relationship Id="rId2"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27"/>
  <sheetViews>
    <sheetView showGridLines="0" zoomScale="116" workbookViewId="0">
      <selection activeCell="J11" sqref="J11"/>
    </sheetView>
  </sheetViews>
  <sheetFormatPr baseColWidth="10" defaultColWidth="8.6640625" defaultRowHeight="13" x14ac:dyDescent="0.15"/>
  <cols>
    <col min="1" max="7" width="8.6640625" style="237"/>
    <col min="8" max="8" width="10.1640625" style="237" customWidth="1"/>
    <col min="9" max="16384" width="8.6640625" style="237"/>
  </cols>
  <sheetData>
    <row r="3" spans="2:9" x14ac:dyDescent="0.15">
      <c r="B3" s="235"/>
      <c r="C3" s="235"/>
      <c r="D3" s="235"/>
      <c r="E3" s="236"/>
      <c r="F3" s="235"/>
      <c r="G3" s="235"/>
      <c r="H3" s="235"/>
      <c r="I3" s="235"/>
    </row>
    <row r="4" spans="2:9" ht="18" x14ac:dyDescent="0.2">
      <c r="B4" s="238"/>
      <c r="C4" s="238"/>
      <c r="D4" s="238"/>
      <c r="E4" s="238"/>
      <c r="F4" s="238"/>
      <c r="G4" s="238"/>
      <c r="H4" s="238"/>
      <c r="I4" s="238"/>
    </row>
    <row r="5" spans="2:9" ht="19.5" customHeight="1" x14ac:dyDescent="0.25">
      <c r="B5" s="239"/>
      <c r="C5" s="239"/>
      <c r="D5" s="239"/>
      <c r="E5" s="239"/>
      <c r="F5" s="239"/>
      <c r="G5" s="239"/>
      <c r="H5" s="239"/>
      <c r="I5" s="239"/>
    </row>
    <row r="6" spans="2:9" ht="18" customHeight="1" x14ac:dyDescent="0.25">
      <c r="B6" s="239"/>
      <c r="C6" s="239"/>
      <c r="D6" s="239"/>
      <c r="E6" s="239"/>
      <c r="F6" s="239"/>
      <c r="G6" s="239"/>
      <c r="H6" s="239"/>
      <c r="I6" s="239"/>
    </row>
    <row r="7" spans="2:9" x14ac:dyDescent="0.15">
      <c r="B7" s="235"/>
      <c r="C7" s="235"/>
      <c r="D7" s="235"/>
      <c r="E7" s="235"/>
      <c r="F7" s="235"/>
      <c r="G7" s="235"/>
      <c r="H7" s="235"/>
      <c r="I7" s="235"/>
    </row>
    <row r="8" spans="2:9" x14ac:dyDescent="0.15">
      <c r="B8" s="235"/>
      <c r="C8" s="236"/>
      <c r="D8" s="235"/>
      <c r="E8" s="240"/>
      <c r="F8" s="235"/>
      <c r="G8" s="235"/>
      <c r="H8" s="235"/>
      <c r="I8" s="235"/>
    </row>
    <row r="9" spans="2:9" x14ac:dyDescent="0.15">
      <c r="B9" s="235"/>
      <c r="C9" s="236"/>
      <c r="D9" s="235"/>
      <c r="E9" s="240"/>
      <c r="F9" s="235"/>
      <c r="G9" s="235"/>
      <c r="H9" s="235"/>
      <c r="I9" s="235"/>
    </row>
    <row r="10" spans="2:9" x14ac:dyDescent="0.15">
      <c r="B10" s="235"/>
      <c r="C10" s="236"/>
      <c r="D10" s="235"/>
      <c r="E10" s="240"/>
      <c r="F10" s="235"/>
      <c r="G10" s="235"/>
      <c r="H10" s="235"/>
      <c r="I10" s="235"/>
    </row>
    <row r="11" spans="2:9" x14ac:dyDescent="0.15">
      <c r="B11" s="235"/>
      <c r="C11" s="236"/>
      <c r="D11" s="235"/>
      <c r="E11" s="240"/>
      <c r="F11" s="235"/>
      <c r="G11" s="235"/>
      <c r="H11" s="235"/>
      <c r="I11" s="235"/>
    </row>
    <row r="12" spans="2:9" x14ac:dyDescent="0.15">
      <c r="B12" s="235"/>
      <c r="C12" s="236"/>
      <c r="D12" s="235"/>
      <c r="E12" s="240"/>
      <c r="F12" s="235"/>
      <c r="G12" s="235"/>
      <c r="H12" s="235"/>
      <c r="I12" s="235"/>
    </row>
    <row r="13" spans="2:9" x14ac:dyDescent="0.15">
      <c r="B13" s="235"/>
      <c r="C13" s="236"/>
      <c r="D13" s="235"/>
      <c r="E13" s="240"/>
      <c r="F13" s="235"/>
      <c r="G13" s="235"/>
      <c r="H13" s="235"/>
      <c r="I13" s="235"/>
    </row>
    <row r="14" spans="2:9" x14ac:dyDescent="0.15">
      <c r="B14" s="235"/>
      <c r="C14" s="236"/>
      <c r="D14" s="235"/>
      <c r="E14" s="240"/>
      <c r="F14" s="235"/>
      <c r="G14" s="235"/>
      <c r="H14" s="235"/>
      <c r="I14" s="235"/>
    </row>
    <row r="15" spans="2:9" x14ac:dyDescent="0.15">
      <c r="B15" s="235"/>
      <c r="C15" s="236"/>
      <c r="D15" s="235"/>
      <c r="E15" s="240"/>
      <c r="F15" s="235"/>
      <c r="G15" s="235"/>
      <c r="H15" s="235"/>
      <c r="I15" s="235"/>
    </row>
    <row r="16" spans="2:9" x14ac:dyDescent="0.15">
      <c r="B16" s="235"/>
      <c r="C16" s="236"/>
      <c r="D16" s="235"/>
      <c r="E16" s="240"/>
      <c r="F16" s="235"/>
      <c r="G16" s="235"/>
      <c r="H16" s="235"/>
      <c r="I16" s="235"/>
    </row>
    <row r="17" spans="2:9" x14ac:dyDescent="0.15">
      <c r="B17" s="235"/>
      <c r="C17" s="236"/>
      <c r="D17" s="235"/>
      <c r="E17" s="240"/>
      <c r="F17" s="235"/>
      <c r="G17" s="235"/>
      <c r="H17" s="235"/>
      <c r="I17" s="235"/>
    </row>
    <row r="18" spans="2:9" x14ac:dyDescent="0.15">
      <c r="B18" s="235"/>
      <c r="C18" s="236"/>
      <c r="D18" s="235"/>
      <c r="E18" s="240"/>
      <c r="F18" s="235"/>
      <c r="G18" s="235"/>
      <c r="H18" s="235"/>
      <c r="I18" s="235"/>
    </row>
    <row r="19" spans="2:9" x14ac:dyDescent="0.15">
      <c r="B19" s="241"/>
      <c r="C19" s="242"/>
      <c r="D19" s="241"/>
      <c r="E19" s="241"/>
      <c r="F19" s="241"/>
      <c r="G19" s="241"/>
      <c r="H19" s="241"/>
      <c r="I19" s="241"/>
    </row>
    <row r="20" spans="2:9" x14ac:dyDescent="0.15">
      <c r="B20" s="243"/>
      <c r="C20" s="243"/>
      <c r="D20" s="244"/>
      <c r="E20" s="244"/>
      <c r="F20" s="244"/>
      <c r="G20" s="244"/>
      <c r="H20" s="243"/>
      <c r="I20" s="243"/>
    </row>
    <row r="21" spans="2:9" x14ac:dyDescent="0.15">
      <c r="B21" s="243"/>
      <c r="C21" s="243"/>
      <c r="D21" s="243"/>
      <c r="E21" s="245"/>
      <c r="F21" s="245"/>
      <c r="G21" s="243"/>
      <c r="H21" s="243"/>
      <c r="I21" s="243"/>
    </row>
    <row r="22" spans="2:9" x14ac:dyDescent="0.15">
      <c r="B22" s="246"/>
      <c r="C22" s="243"/>
      <c r="D22" s="243"/>
      <c r="E22" s="245"/>
      <c r="F22" s="245"/>
      <c r="G22" s="243"/>
      <c r="H22" s="243"/>
      <c r="I22" s="243"/>
    </row>
    <row r="23" spans="2:9" x14ac:dyDescent="0.15">
      <c r="B23" s="245"/>
      <c r="C23" s="245"/>
      <c r="D23" s="245"/>
      <c r="E23" s="245"/>
      <c r="F23" s="245"/>
      <c r="G23" s="245"/>
      <c r="H23" s="245"/>
      <c r="I23" s="245"/>
    </row>
    <row r="24" spans="2:9" x14ac:dyDescent="0.15">
      <c r="B24" s="245"/>
      <c r="C24" s="245"/>
      <c r="D24" s="245"/>
      <c r="E24" s="245"/>
      <c r="F24" s="245"/>
      <c r="G24" s="245"/>
      <c r="H24" s="245"/>
      <c r="I24" s="245"/>
    </row>
    <row r="25" spans="2:9" x14ac:dyDescent="0.15">
      <c r="B25" s="247"/>
      <c r="C25" s="241"/>
      <c r="D25" s="241"/>
      <c r="E25" s="241"/>
      <c r="F25" s="241"/>
      <c r="G25" s="241"/>
      <c r="H25" s="241"/>
      <c r="I25" s="241"/>
    </row>
    <row r="26" spans="2:9" x14ac:dyDescent="0.15">
      <c r="B26" s="247"/>
      <c r="C26" s="235"/>
      <c r="D26" s="235"/>
      <c r="E26" s="235"/>
      <c r="F26" s="235"/>
      <c r="G26" s="235"/>
      <c r="H26" s="235"/>
      <c r="I26" s="235"/>
    </row>
    <row r="27" spans="2:9" x14ac:dyDescent="0.15">
      <c r="B27" s="235"/>
      <c r="C27" s="235"/>
      <c r="D27" s="235"/>
      <c r="E27" s="235"/>
      <c r="F27" s="235"/>
      <c r="G27" s="248"/>
      <c r="H27" s="235"/>
      <c r="I27" s="248"/>
    </row>
  </sheetData>
  <pageMargins left="0.75" right="0.75" top="1" bottom="1" header="0.5" footer="0.5"/>
  <pageSetup orientation="portrait" horizontalDpi="4294967292" r:id="rId1"/>
  <headerFooter alignWithMargins="0"/>
  <drawing r:id="rId2"/>
  <pictur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999"/>
  <sheetViews>
    <sheetView showGridLines="0" topLeftCell="A114" zoomScale="94" zoomScaleNormal="80" zoomScalePageLayoutView="80" workbookViewId="0">
      <pane xSplit="2" topLeftCell="C1" activePane="topRight" state="frozen"/>
      <selection pane="topRight" activeCell="D24" sqref="D24"/>
    </sheetView>
  </sheetViews>
  <sheetFormatPr baseColWidth="10" defaultColWidth="13.5" defaultRowHeight="15" customHeight="1" x14ac:dyDescent="0.2"/>
  <cols>
    <col min="1" max="1" width="6.1640625" customWidth="1"/>
    <col min="2" max="2" width="42.1640625" customWidth="1"/>
    <col min="3" max="3" width="16.5" customWidth="1"/>
    <col min="4" max="4" width="14.6640625" customWidth="1"/>
    <col min="5" max="5" width="13.1640625" customWidth="1"/>
    <col min="6" max="6" width="13.6640625" customWidth="1"/>
    <col min="7" max="14" width="11" customWidth="1"/>
    <col min="15" max="15" width="13.6640625" customWidth="1"/>
    <col min="16" max="16" width="14.1640625" customWidth="1"/>
    <col min="17" max="27" width="10.6640625" customWidth="1"/>
  </cols>
  <sheetData>
    <row r="1" spans="1:27" ht="9.75" customHeight="1" x14ac:dyDescent="0.2">
      <c r="A1" s="1"/>
      <c r="B1" s="1"/>
      <c r="C1" s="1"/>
      <c r="D1" s="1"/>
      <c r="E1" s="1"/>
      <c r="F1" s="1"/>
      <c r="G1" s="1"/>
      <c r="H1" s="1"/>
      <c r="I1" s="1"/>
      <c r="J1" s="1"/>
      <c r="K1" s="1"/>
      <c r="L1" s="1"/>
      <c r="M1" s="1"/>
      <c r="N1" s="1"/>
      <c r="O1" s="1"/>
      <c r="P1" s="1"/>
      <c r="Q1" s="1"/>
      <c r="R1" s="1"/>
      <c r="S1" s="1"/>
      <c r="T1" s="1"/>
      <c r="U1" s="1"/>
      <c r="V1" s="1"/>
      <c r="W1" s="1"/>
      <c r="X1" s="1"/>
      <c r="Y1" s="1"/>
      <c r="Z1" s="1"/>
      <c r="AA1" s="1"/>
    </row>
    <row r="2" spans="1:27" ht="15.75" customHeight="1" x14ac:dyDescent="0.2">
      <c r="A2" s="1"/>
      <c r="B2" s="3"/>
      <c r="C2" s="264" t="s">
        <v>198</v>
      </c>
      <c r="D2" s="265"/>
      <c r="E2" s="265"/>
      <c r="F2" s="265"/>
      <c r="G2" s="265"/>
      <c r="H2" s="1"/>
      <c r="I2" s="1"/>
      <c r="J2" s="1"/>
      <c r="K2" s="1"/>
      <c r="L2" s="1"/>
      <c r="M2" s="1"/>
      <c r="N2" s="1"/>
      <c r="O2" s="1"/>
      <c r="P2" s="1"/>
      <c r="Q2" s="1"/>
      <c r="R2" s="1"/>
      <c r="S2" s="1"/>
      <c r="T2" s="1"/>
      <c r="U2" s="1"/>
      <c r="V2" s="1"/>
      <c r="W2" s="1"/>
      <c r="X2" s="1"/>
      <c r="Y2" s="1"/>
      <c r="Z2" s="1"/>
      <c r="AA2" s="1"/>
    </row>
    <row r="3" spans="1:27" ht="12" customHeight="1" x14ac:dyDescent="0.2">
      <c r="A3" s="1"/>
      <c r="B3" s="3"/>
      <c r="C3" s="3"/>
      <c r="D3" s="3"/>
      <c r="E3" s="3"/>
      <c r="F3" s="3"/>
      <c r="G3" s="3"/>
      <c r="H3" s="1"/>
      <c r="I3" s="1"/>
      <c r="J3" s="1"/>
      <c r="K3" s="1"/>
      <c r="L3" s="1"/>
      <c r="M3" s="1"/>
      <c r="N3" s="1"/>
      <c r="O3" s="1"/>
      <c r="P3" s="1"/>
      <c r="Q3" s="1"/>
      <c r="R3" s="1"/>
      <c r="S3" s="1"/>
      <c r="T3" s="1"/>
      <c r="U3" s="1"/>
      <c r="V3" s="1"/>
      <c r="W3" s="1"/>
      <c r="X3" s="1"/>
      <c r="Y3" s="1"/>
      <c r="Z3" s="1"/>
      <c r="AA3" s="1"/>
    </row>
    <row r="4" spans="1:27" ht="61.5" customHeight="1" x14ac:dyDescent="0.2">
      <c r="A4" s="1"/>
      <c r="B4" s="3"/>
      <c r="C4" s="277" t="s">
        <v>0</v>
      </c>
      <c r="D4" s="265"/>
      <c r="E4" s="265"/>
      <c r="F4" s="265"/>
      <c r="G4" s="265"/>
      <c r="H4" s="265"/>
      <c r="I4" s="265"/>
      <c r="J4" s="1"/>
      <c r="K4" s="1"/>
      <c r="L4" s="1"/>
      <c r="M4" s="1"/>
      <c r="N4" s="1"/>
      <c r="O4" s="1"/>
      <c r="P4" s="1"/>
      <c r="Q4" s="1"/>
      <c r="R4" s="1"/>
      <c r="S4" s="1"/>
      <c r="T4" s="1"/>
      <c r="U4" s="1"/>
      <c r="V4" s="1"/>
      <c r="W4" s="1"/>
      <c r="X4" s="1"/>
      <c r="Y4" s="1"/>
      <c r="Z4" s="1"/>
      <c r="AA4" s="1"/>
    </row>
    <row r="5" spans="1:27" ht="15.75" customHeight="1" x14ac:dyDescent="0.2">
      <c r="A5" s="1"/>
      <c r="B5" s="1"/>
      <c r="C5" s="275" t="s">
        <v>1</v>
      </c>
      <c r="D5" s="274"/>
      <c r="E5" s="274"/>
      <c r="F5" s="274"/>
      <c r="G5" s="4"/>
      <c r="H5" s="4"/>
      <c r="I5" s="4"/>
      <c r="J5" s="4"/>
      <c r="K5" s="4"/>
      <c r="L5" s="4"/>
      <c r="M5" s="4"/>
      <c r="N5" s="4"/>
      <c r="O5" s="1"/>
      <c r="P5" s="1"/>
      <c r="Q5" s="1"/>
      <c r="R5" s="1"/>
      <c r="S5" s="1"/>
      <c r="T5" s="1"/>
      <c r="U5" s="1"/>
      <c r="V5" s="1"/>
      <c r="W5" s="1"/>
      <c r="X5" s="1"/>
      <c r="Y5" s="1"/>
      <c r="Z5" s="1"/>
      <c r="AA5" s="1"/>
    </row>
    <row r="6" spans="1:27" ht="15.75" customHeight="1" x14ac:dyDescent="0.2">
      <c r="A6" s="250" t="s">
        <v>189</v>
      </c>
      <c r="B6" s="1"/>
      <c r="C6" s="8"/>
      <c r="D6" s="8"/>
      <c r="E6" s="8"/>
      <c r="F6" s="8"/>
      <c r="G6" s="1"/>
      <c r="H6" s="1"/>
      <c r="I6" s="1"/>
      <c r="J6" s="1"/>
      <c r="K6" s="1"/>
      <c r="L6" s="1"/>
      <c r="M6" s="1"/>
      <c r="N6" s="1"/>
      <c r="O6" s="1"/>
      <c r="P6" s="1"/>
      <c r="Q6" s="1"/>
      <c r="R6" s="1"/>
      <c r="S6" s="1"/>
      <c r="T6" s="1"/>
      <c r="U6" s="1"/>
      <c r="V6" s="1"/>
      <c r="W6" s="1"/>
      <c r="X6" s="1"/>
      <c r="Y6" s="1"/>
      <c r="Z6" s="1"/>
      <c r="AA6" s="1"/>
    </row>
    <row r="7" spans="1:27" ht="18" customHeight="1" x14ac:dyDescent="0.2">
      <c r="B7" s="193" t="s">
        <v>155</v>
      </c>
      <c r="C7" s="278" t="s">
        <v>158</v>
      </c>
      <c r="D7" s="278"/>
      <c r="H7" s="1"/>
      <c r="I7" s="9" t="s">
        <v>6</v>
      </c>
      <c r="J7" s="12"/>
      <c r="K7" s="9" t="s">
        <v>8</v>
      </c>
      <c r="L7" s="4" t="s">
        <v>9</v>
      </c>
      <c r="M7" s="1"/>
      <c r="N7" s="1"/>
      <c r="O7" s="1"/>
      <c r="P7" s="1"/>
      <c r="Q7" s="1"/>
      <c r="R7" s="1"/>
      <c r="S7" s="1"/>
      <c r="T7" s="1"/>
      <c r="U7" s="1"/>
      <c r="V7" s="1"/>
      <c r="W7" s="1"/>
      <c r="X7" s="1"/>
      <c r="Y7" s="1"/>
      <c r="Z7" s="1"/>
      <c r="AA7" s="1"/>
    </row>
    <row r="8" spans="1:27" ht="18" customHeight="1" x14ac:dyDescent="0.2">
      <c r="A8" s="1"/>
      <c r="B8" s="9" t="s">
        <v>5</v>
      </c>
      <c r="C8" s="276" t="s">
        <v>5</v>
      </c>
      <c r="D8" s="274"/>
      <c r="E8" s="274"/>
      <c r="F8" s="274"/>
      <c r="G8" s="274"/>
      <c r="H8" s="1"/>
      <c r="I8" s="9" t="s">
        <v>10</v>
      </c>
      <c r="J8" s="12" t="s">
        <v>11</v>
      </c>
      <c r="K8" s="15" t="s">
        <v>12</v>
      </c>
      <c r="L8" s="16" t="s">
        <v>13</v>
      </c>
      <c r="M8" s="17" t="s">
        <v>194</v>
      </c>
      <c r="N8" s="1"/>
      <c r="O8" s="1"/>
      <c r="P8" s="1"/>
      <c r="Q8" s="1"/>
      <c r="R8" s="1"/>
      <c r="S8" s="1"/>
      <c r="T8" s="1"/>
      <c r="U8" s="1"/>
      <c r="V8" s="1"/>
      <c r="W8" s="1"/>
      <c r="X8" s="1"/>
      <c r="Y8" s="1"/>
      <c r="Z8" s="1"/>
      <c r="AA8" s="1"/>
    </row>
    <row r="9" spans="1:27" ht="15.75" customHeight="1" x14ac:dyDescent="0.2">
      <c r="A9" s="1"/>
      <c r="B9" s="249" t="s">
        <v>185</v>
      </c>
      <c r="C9" s="279" t="s">
        <v>120</v>
      </c>
      <c r="D9" s="279"/>
      <c r="E9" s="1"/>
      <c r="F9" s="1"/>
      <c r="G9" s="1"/>
      <c r="H9" s="1"/>
      <c r="I9" s="1"/>
      <c r="J9" s="1"/>
      <c r="K9" s="1"/>
      <c r="L9" s="1"/>
      <c r="M9" s="17"/>
      <c r="N9" s="1"/>
      <c r="O9" s="1"/>
      <c r="P9" s="1"/>
      <c r="Q9" s="1"/>
      <c r="R9" s="1"/>
      <c r="S9" s="1"/>
      <c r="T9" s="1"/>
      <c r="U9" s="1"/>
      <c r="V9" s="1"/>
      <c r="W9" s="1"/>
      <c r="X9" s="1"/>
      <c r="Y9" s="1"/>
      <c r="Z9" s="1"/>
      <c r="AA9" s="1"/>
    </row>
    <row r="10" spans="1:27" ht="15.75" customHeight="1" thickBot="1" x14ac:dyDescent="0.25">
      <c r="A10" s="250" t="s">
        <v>191</v>
      </c>
      <c r="B10" s="20"/>
      <c r="C10" s="1"/>
      <c r="D10" s="19"/>
      <c r="E10" s="1"/>
      <c r="F10" s="1"/>
      <c r="G10" s="1"/>
      <c r="H10" s="1"/>
      <c r="I10" s="1"/>
      <c r="J10" s="1"/>
      <c r="K10" s="1"/>
      <c r="L10" s="1"/>
      <c r="M10" s="1"/>
      <c r="N10" s="1"/>
      <c r="O10" s="1"/>
      <c r="P10" s="1"/>
      <c r="Q10" s="1"/>
      <c r="R10" s="1"/>
      <c r="S10" s="1"/>
      <c r="T10" s="1"/>
      <c r="U10" s="1"/>
      <c r="V10" s="1"/>
      <c r="W10" s="1"/>
      <c r="X10" s="1"/>
      <c r="Y10" s="1"/>
      <c r="Z10" s="1"/>
      <c r="AA10" s="1"/>
    </row>
    <row r="11" spans="1:27" ht="15.75" customHeight="1" x14ac:dyDescent="0.2">
      <c r="A11" s="1"/>
      <c r="B11" s="22"/>
      <c r="C11" s="24">
        <v>1</v>
      </c>
      <c r="D11" s="25">
        <v>2</v>
      </c>
      <c r="E11" s="26">
        <v>3</v>
      </c>
      <c r="F11" s="24">
        <v>4</v>
      </c>
      <c r="G11" s="25">
        <v>5</v>
      </c>
      <c r="H11" s="26">
        <v>6</v>
      </c>
      <c r="I11" s="24">
        <v>7</v>
      </c>
      <c r="J11" s="25">
        <v>8</v>
      </c>
      <c r="K11" s="26">
        <v>9</v>
      </c>
      <c r="L11" s="24">
        <v>10</v>
      </c>
      <c r="M11" s="25">
        <v>11</v>
      </c>
      <c r="N11" s="26">
        <v>12</v>
      </c>
      <c r="O11" s="29" t="s">
        <v>18</v>
      </c>
      <c r="P11" s="1"/>
      <c r="Q11" s="1"/>
      <c r="R11" s="1"/>
      <c r="S11" s="1"/>
      <c r="T11" s="1"/>
      <c r="U11" s="1"/>
      <c r="V11" s="1"/>
      <c r="W11" s="1"/>
      <c r="X11" s="1"/>
      <c r="Y11" s="1"/>
      <c r="Z11" s="1"/>
      <c r="AA11" s="1"/>
    </row>
    <row r="12" spans="1:27" ht="15.75" customHeight="1" x14ac:dyDescent="0.2">
      <c r="A12" s="1"/>
      <c r="B12" s="13" t="s">
        <v>19</v>
      </c>
      <c r="C12" s="30" t="s">
        <v>199</v>
      </c>
      <c r="D12" s="31" t="s">
        <v>200</v>
      </c>
      <c r="E12" s="32"/>
      <c r="F12" s="30"/>
      <c r="G12" s="30"/>
      <c r="H12" s="30"/>
      <c r="I12" s="30"/>
      <c r="J12" s="30"/>
      <c r="K12" s="30"/>
      <c r="L12" s="30"/>
      <c r="M12" s="30"/>
      <c r="N12" s="30"/>
      <c r="O12" s="33"/>
      <c r="P12" s="1"/>
      <c r="Q12" s="1"/>
      <c r="R12" s="1"/>
      <c r="S12" s="1"/>
      <c r="T12" s="1"/>
      <c r="U12" s="1"/>
      <c r="V12" s="1"/>
      <c r="W12" s="1"/>
      <c r="X12" s="1"/>
      <c r="Y12" s="1"/>
      <c r="Z12" s="1"/>
      <c r="AA12" s="1"/>
    </row>
    <row r="13" spans="1:27" ht="15.75" customHeight="1" x14ac:dyDescent="0.2">
      <c r="A13" s="1"/>
      <c r="B13" s="13" t="s">
        <v>20</v>
      </c>
      <c r="C13" s="35">
        <v>1</v>
      </c>
      <c r="D13" s="35">
        <v>1</v>
      </c>
      <c r="E13" s="35"/>
      <c r="F13" s="35"/>
      <c r="G13" s="35"/>
      <c r="H13" s="35"/>
      <c r="I13" s="35"/>
      <c r="J13" s="35"/>
      <c r="K13" s="35"/>
      <c r="L13" s="35"/>
      <c r="M13" s="35"/>
      <c r="N13" s="35"/>
      <c r="O13" s="38">
        <f t="shared" ref="O13:O14" si="0">SUM(C13:N13)</f>
        <v>2</v>
      </c>
      <c r="P13" s="1"/>
      <c r="Q13" s="1"/>
      <c r="R13" s="1"/>
      <c r="S13" s="1"/>
      <c r="T13" s="1"/>
      <c r="U13" s="1"/>
      <c r="V13" s="1"/>
      <c r="W13" s="1"/>
      <c r="X13" s="1"/>
      <c r="Y13" s="1"/>
      <c r="Z13" s="1"/>
      <c r="AA13" s="1"/>
    </row>
    <row r="14" spans="1:27" ht="15.75" customHeight="1" x14ac:dyDescent="0.2">
      <c r="A14" s="1"/>
      <c r="B14" s="40" t="s">
        <v>21</v>
      </c>
      <c r="C14" s="42">
        <f t="shared" ref="C14:N14" si="1">(C13*100)/$O$13</f>
        <v>50</v>
      </c>
      <c r="D14" s="42">
        <f t="shared" si="1"/>
        <v>50</v>
      </c>
      <c r="E14" s="42">
        <f t="shared" si="1"/>
        <v>0</v>
      </c>
      <c r="F14" s="42">
        <f t="shared" si="1"/>
        <v>0</v>
      </c>
      <c r="G14" s="42">
        <f t="shared" si="1"/>
        <v>0</v>
      </c>
      <c r="H14" s="42">
        <f t="shared" si="1"/>
        <v>0</v>
      </c>
      <c r="I14" s="42">
        <f t="shared" si="1"/>
        <v>0</v>
      </c>
      <c r="J14" s="42">
        <f t="shared" si="1"/>
        <v>0</v>
      </c>
      <c r="K14" s="42">
        <f t="shared" si="1"/>
        <v>0</v>
      </c>
      <c r="L14" s="42">
        <f t="shared" si="1"/>
        <v>0</v>
      </c>
      <c r="M14" s="42">
        <f t="shared" si="1"/>
        <v>0</v>
      </c>
      <c r="N14" s="42">
        <f t="shared" si="1"/>
        <v>0</v>
      </c>
      <c r="O14" s="46">
        <f t="shared" si="0"/>
        <v>100</v>
      </c>
      <c r="P14" s="1"/>
      <c r="Q14" s="1"/>
      <c r="R14" s="1"/>
      <c r="S14" s="1"/>
      <c r="T14" s="1"/>
      <c r="U14" s="1"/>
      <c r="V14" s="1"/>
      <c r="W14" s="1"/>
      <c r="X14" s="1"/>
      <c r="Y14" s="1"/>
      <c r="Z14" s="1"/>
      <c r="AA14" s="1"/>
    </row>
    <row r="15" spans="1:27" ht="15.75" customHeight="1" x14ac:dyDescent="0.2">
      <c r="A15" s="1"/>
      <c r="B15" s="19"/>
      <c r="C15" s="1"/>
      <c r="D15" s="47"/>
      <c r="E15" s="48"/>
      <c r="F15" s="1"/>
      <c r="G15" s="1"/>
      <c r="H15" s="1"/>
      <c r="I15" s="1"/>
      <c r="J15" s="1"/>
      <c r="K15" s="1"/>
      <c r="L15" s="1"/>
      <c r="M15" s="1"/>
      <c r="N15" s="1"/>
      <c r="O15" s="1"/>
      <c r="P15" s="1"/>
      <c r="Q15" s="1"/>
      <c r="R15" s="1"/>
      <c r="S15" s="1"/>
      <c r="T15" s="1"/>
      <c r="U15" s="1"/>
      <c r="V15" s="1"/>
      <c r="W15" s="1"/>
      <c r="X15" s="1"/>
      <c r="Y15" s="1"/>
      <c r="Z15" s="1"/>
      <c r="AA15" s="1"/>
    </row>
    <row r="16" spans="1:27" ht="15.75" customHeight="1" x14ac:dyDescent="0.2">
      <c r="A16" s="250" t="s">
        <v>190</v>
      </c>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5.75" customHeight="1" x14ac:dyDescent="0.2">
      <c r="A17" s="1"/>
      <c r="B17" s="22" t="s">
        <v>26</v>
      </c>
      <c r="C17" s="50">
        <v>1</v>
      </c>
      <c r="D17" s="50">
        <v>2</v>
      </c>
      <c r="E17" s="50">
        <v>3</v>
      </c>
      <c r="F17" s="50">
        <v>4</v>
      </c>
      <c r="G17" s="50">
        <v>5</v>
      </c>
      <c r="H17" s="50">
        <v>6</v>
      </c>
      <c r="I17" s="50">
        <v>7</v>
      </c>
      <c r="J17" s="50">
        <v>8</v>
      </c>
      <c r="K17" s="50">
        <v>9</v>
      </c>
      <c r="L17" s="50">
        <v>10</v>
      </c>
      <c r="M17" s="50">
        <v>11</v>
      </c>
      <c r="N17" s="50">
        <v>12</v>
      </c>
      <c r="O17" s="24"/>
      <c r="P17" s="24"/>
      <c r="Q17" s="29"/>
      <c r="R17" s="1"/>
      <c r="S17" s="1"/>
      <c r="T17" s="1"/>
      <c r="U17" s="1"/>
      <c r="V17" s="1"/>
      <c r="W17" s="1"/>
      <c r="X17" s="1"/>
      <c r="Y17" s="1"/>
      <c r="Z17" s="1"/>
      <c r="AA17" s="1"/>
    </row>
    <row r="18" spans="1:27" ht="15.75" customHeight="1" x14ac:dyDescent="0.2">
      <c r="A18" s="1"/>
      <c r="B18" s="52" t="s">
        <v>27</v>
      </c>
      <c r="C18" s="54" t="str">
        <f t="shared" ref="C18:N18" si="2">C12</f>
        <v>Segment 1</v>
      </c>
      <c r="D18" s="56" t="str">
        <f t="shared" si="2"/>
        <v>Segment 2</v>
      </c>
      <c r="E18" s="56">
        <f t="shared" si="2"/>
        <v>0</v>
      </c>
      <c r="F18" s="56">
        <f t="shared" si="2"/>
        <v>0</v>
      </c>
      <c r="G18" s="56">
        <f t="shared" si="2"/>
        <v>0</v>
      </c>
      <c r="H18" s="56">
        <f t="shared" si="2"/>
        <v>0</v>
      </c>
      <c r="I18" s="56">
        <f t="shared" si="2"/>
        <v>0</v>
      </c>
      <c r="J18" s="56">
        <f t="shared" si="2"/>
        <v>0</v>
      </c>
      <c r="K18" s="56">
        <f t="shared" si="2"/>
        <v>0</v>
      </c>
      <c r="L18" s="56">
        <f t="shared" si="2"/>
        <v>0</v>
      </c>
      <c r="M18" s="56">
        <f t="shared" si="2"/>
        <v>0</v>
      </c>
      <c r="N18" s="56">
        <f t="shared" si="2"/>
        <v>0</v>
      </c>
      <c r="O18" s="28" t="s">
        <v>29</v>
      </c>
      <c r="P18" s="28" t="s">
        <v>18</v>
      </c>
      <c r="Q18" s="58" t="s">
        <v>21</v>
      </c>
      <c r="R18" s="1"/>
      <c r="S18" s="1"/>
      <c r="T18" s="1"/>
      <c r="U18" s="1"/>
      <c r="V18" s="1"/>
      <c r="W18" s="1"/>
      <c r="X18" s="1"/>
      <c r="Y18" s="1"/>
      <c r="Z18" s="1"/>
      <c r="AA18" s="1"/>
    </row>
    <row r="19" spans="1:27" ht="15.75" customHeight="1" x14ac:dyDescent="0.2">
      <c r="A19" s="1"/>
      <c r="B19" s="60" t="s">
        <v>30</v>
      </c>
      <c r="C19" s="61"/>
      <c r="D19" s="61"/>
      <c r="E19" s="61"/>
      <c r="F19" s="61"/>
      <c r="G19" s="61"/>
      <c r="H19" s="61"/>
      <c r="I19" s="61"/>
      <c r="J19" s="61"/>
      <c r="K19" s="61"/>
      <c r="L19" s="61"/>
      <c r="M19" s="61"/>
      <c r="N19" s="61"/>
      <c r="O19" s="62">
        <f t="shared" ref="O19:O32" si="3">C19*(C$14/100)+D19*(D$14/100)+E19*(E$14/100)+F19*(F$14/100)+G19*(G$14/100)+H19*(H$14/100)+I19*(I$14/100)+J19*(J$14/100)+K19*(K$14/100)+L19*(L$14/100)+M19*(M$14/100)+N19*(N$14/100)</f>
        <v>0</v>
      </c>
      <c r="P19" s="63">
        <f t="shared" ref="P19:P32" si="4">C19*C$13+D19*D$13+E19*E$13+F19*F$13+G19*G$13+H19*H$13+I19*I$13+J19*J$13+K19*K$13+L19*L$13+M19*M$13+N19*N$13</f>
        <v>0</v>
      </c>
      <c r="Q19" s="64" t="e">
        <f t="shared" ref="Q19:Q32" si="5">(P19*100)/P$33</f>
        <v>#DIV/0!</v>
      </c>
      <c r="R19" s="1"/>
      <c r="S19" s="1"/>
      <c r="T19" s="1"/>
      <c r="U19" s="1"/>
      <c r="V19" s="1"/>
      <c r="W19" s="1"/>
      <c r="X19" s="1"/>
      <c r="Y19" s="1"/>
      <c r="Z19" s="1"/>
      <c r="AA19" s="1"/>
    </row>
    <row r="20" spans="1:27" ht="15.75" customHeight="1" x14ac:dyDescent="0.2">
      <c r="A20" s="1"/>
      <c r="B20" s="13" t="s">
        <v>31</v>
      </c>
      <c r="C20" s="65"/>
      <c r="D20" s="65"/>
      <c r="E20" s="65"/>
      <c r="F20" s="65"/>
      <c r="G20" s="65"/>
      <c r="H20" s="65"/>
      <c r="I20" s="65"/>
      <c r="J20" s="65"/>
      <c r="K20" s="65"/>
      <c r="L20" s="65"/>
      <c r="M20" s="65"/>
      <c r="N20" s="65"/>
      <c r="O20" s="23">
        <f t="shared" si="3"/>
        <v>0</v>
      </c>
      <c r="P20" s="66">
        <f t="shared" si="4"/>
        <v>0</v>
      </c>
      <c r="Q20" s="67" t="e">
        <f t="shared" si="5"/>
        <v>#DIV/0!</v>
      </c>
      <c r="R20" s="1"/>
      <c r="S20" s="1"/>
      <c r="T20" s="1"/>
      <c r="U20" s="1"/>
      <c r="V20" s="1"/>
      <c r="W20" s="1"/>
      <c r="X20" s="1"/>
      <c r="Y20" s="1"/>
      <c r="Z20" s="1"/>
      <c r="AA20" s="1"/>
    </row>
    <row r="21" spans="1:27" ht="15.75" customHeight="1" x14ac:dyDescent="0.2">
      <c r="A21" s="1"/>
      <c r="B21" s="13" t="s">
        <v>32</v>
      </c>
      <c r="C21" s="65"/>
      <c r="D21" s="65"/>
      <c r="E21" s="65"/>
      <c r="F21" s="65"/>
      <c r="G21" s="65"/>
      <c r="H21" s="65"/>
      <c r="I21" s="65"/>
      <c r="J21" s="65"/>
      <c r="K21" s="65"/>
      <c r="L21" s="65"/>
      <c r="M21" s="65"/>
      <c r="N21" s="65"/>
      <c r="O21" s="23">
        <f t="shared" si="3"/>
        <v>0</v>
      </c>
      <c r="P21" s="66">
        <f t="shared" si="4"/>
        <v>0</v>
      </c>
      <c r="Q21" s="67" t="e">
        <f t="shared" si="5"/>
        <v>#DIV/0!</v>
      </c>
      <c r="R21" s="1"/>
      <c r="S21" s="1"/>
      <c r="T21" s="1"/>
      <c r="U21" s="1"/>
      <c r="V21" s="1"/>
      <c r="W21" s="1"/>
      <c r="X21" s="1"/>
      <c r="Y21" s="1"/>
      <c r="Z21" s="1"/>
      <c r="AA21" s="1"/>
    </row>
    <row r="22" spans="1:27" ht="15.75" customHeight="1" x14ac:dyDescent="0.2">
      <c r="A22" s="1"/>
      <c r="B22" s="13" t="s">
        <v>33</v>
      </c>
      <c r="C22" s="65"/>
      <c r="D22" s="65"/>
      <c r="E22" s="65"/>
      <c r="F22" s="65"/>
      <c r="G22" s="65"/>
      <c r="H22" s="65"/>
      <c r="I22" s="65"/>
      <c r="J22" s="65"/>
      <c r="K22" s="65"/>
      <c r="L22" s="65"/>
      <c r="M22" s="65"/>
      <c r="N22" s="65"/>
      <c r="O22" s="23">
        <f t="shared" si="3"/>
        <v>0</v>
      </c>
      <c r="P22" s="66">
        <f t="shared" si="4"/>
        <v>0</v>
      </c>
      <c r="Q22" s="67" t="e">
        <f t="shared" si="5"/>
        <v>#DIV/0!</v>
      </c>
      <c r="R22" s="1"/>
      <c r="S22" s="1"/>
      <c r="T22" s="1"/>
      <c r="U22" s="1"/>
      <c r="V22" s="1"/>
      <c r="W22" s="1"/>
      <c r="X22" s="1"/>
      <c r="Y22" s="1"/>
      <c r="Z22" s="1"/>
      <c r="AA22" s="1"/>
    </row>
    <row r="23" spans="1:27" ht="15.75" customHeight="1" x14ac:dyDescent="0.2">
      <c r="A23" s="1"/>
      <c r="B23" s="13" t="s">
        <v>34</v>
      </c>
      <c r="C23" s="65"/>
      <c r="D23" s="65"/>
      <c r="E23" s="65"/>
      <c r="F23" s="65"/>
      <c r="G23" s="65"/>
      <c r="H23" s="65"/>
      <c r="I23" s="65"/>
      <c r="J23" s="65"/>
      <c r="K23" s="65"/>
      <c r="L23" s="65"/>
      <c r="M23" s="65"/>
      <c r="N23" s="65"/>
      <c r="O23" s="23">
        <f t="shared" si="3"/>
        <v>0</v>
      </c>
      <c r="P23" s="66">
        <f t="shared" si="4"/>
        <v>0</v>
      </c>
      <c r="Q23" s="67" t="e">
        <f t="shared" si="5"/>
        <v>#DIV/0!</v>
      </c>
      <c r="R23" s="1"/>
      <c r="S23" s="1"/>
      <c r="T23" s="1"/>
      <c r="U23" s="1"/>
      <c r="V23" s="1"/>
      <c r="W23" s="1"/>
      <c r="X23" s="1"/>
      <c r="Y23" s="1"/>
      <c r="Z23" s="1"/>
      <c r="AA23" s="1"/>
    </row>
    <row r="24" spans="1:27" ht="15.75" customHeight="1" x14ac:dyDescent="0.2">
      <c r="A24" s="1"/>
      <c r="B24" s="13" t="s">
        <v>35</v>
      </c>
      <c r="C24" s="65"/>
      <c r="D24" s="65"/>
      <c r="E24" s="65"/>
      <c r="F24" s="65"/>
      <c r="G24" s="65"/>
      <c r="H24" s="65"/>
      <c r="I24" s="65"/>
      <c r="J24" s="65"/>
      <c r="K24" s="65"/>
      <c r="L24" s="65"/>
      <c r="M24" s="65"/>
      <c r="N24" s="65"/>
      <c r="O24" s="23">
        <f t="shared" si="3"/>
        <v>0</v>
      </c>
      <c r="P24" s="66">
        <f t="shared" si="4"/>
        <v>0</v>
      </c>
      <c r="Q24" s="67" t="e">
        <f t="shared" si="5"/>
        <v>#DIV/0!</v>
      </c>
      <c r="R24" s="1"/>
      <c r="S24" s="1"/>
      <c r="T24" s="1"/>
      <c r="U24" s="1"/>
      <c r="V24" s="1"/>
      <c r="W24" s="1"/>
      <c r="X24" s="1"/>
      <c r="Y24" s="1"/>
      <c r="Z24" s="1"/>
      <c r="AA24" s="1"/>
    </row>
    <row r="25" spans="1:27" ht="15.75" customHeight="1" x14ac:dyDescent="0.2">
      <c r="A25" s="1"/>
      <c r="B25" s="13" t="s">
        <v>36</v>
      </c>
      <c r="C25" s="65"/>
      <c r="D25" s="65"/>
      <c r="E25" s="65"/>
      <c r="F25" s="65"/>
      <c r="G25" s="65"/>
      <c r="H25" s="65"/>
      <c r="I25" s="65"/>
      <c r="J25" s="65"/>
      <c r="K25" s="65"/>
      <c r="L25" s="65"/>
      <c r="M25" s="65"/>
      <c r="N25" s="65"/>
      <c r="O25" s="23">
        <f t="shared" si="3"/>
        <v>0</v>
      </c>
      <c r="P25" s="66">
        <f t="shared" si="4"/>
        <v>0</v>
      </c>
      <c r="Q25" s="67" t="e">
        <f t="shared" si="5"/>
        <v>#DIV/0!</v>
      </c>
      <c r="R25" s="1"/>
      <c r="S25" s="1"/>
      <c r="T25" s="1"/>
      <c r="U25" s="1"/>
      <c r="V25" s="1"/>
      <c r="W25" s="1"/>
      <c r="X25" s="1"/>
      <c r="Y25" s="1"/>
      <c r="Z25" s="1"/>
      <c r="AA25" s="1"/>
    </row>
    <row r="26" spans="1:27" ht="15.75" customHeight="1" x14ac:dyDescent="0.2">
      <c r="A26" s="1"/>
      <c r="B26" s="13" t="s">
        <v>37</v>
      </c>
      <c r="C26" s="65"/>
      <c r="D26" s="65"/>
      <c r="E26" s="65"/>
      <c r="F26" s="65"/>
      <c r="G26" s="65"/>
      <c r="H26" s="65"/>
      <c r="I26" s="65"/>
      <c r="J26" s="65"/>
      <c r="K26" s="65"/>
      <c r="L26" s="65"/>
      <c r="M26" s="65"/>
      <c r="N26" s="65"/>
      <c r="O26" s="23">
        <f t="shared" si="3"/>
        <v>0</v>
      </c>
      <c r="P26" s="66">
        <f t="shared" si="4"/>
        <v>0</v>
      </c>
      <c r="Q26" s="67" t="e">
        <f t="shared" si="5"/>
        <v>#DIV/0!</v>
      </c>
      <c r="R26" s="1"/>
      <c r="S26" s="1"/>
      <c r="T26" s="1"/>
      <c r="U26" s="1"/>
      <c r="V26" s="1"/>
      <c r="W26" s="1"/>
      <c r="X26" s="1"/>
      <c r="Y26" s="1"/>
      <c r="Z26" s="1"/>
      <c r="AA26" s="1"/>
    </row>
    <row r="27" spans="1:27" ht="15.75" customHeight="1" x14ac:dyDescent="0.2">
      <c r="A27" s="1"/>
      <c r="B27" s="21" t="s">
        <v>38</v>
      </c>
      <c r="C27" s="65"/>
      <c r="D27" s="65"/>
      <c r="E27" s="65"/>
      <c r="F27" s="65"/>
      <c r="G27" s="65"/>
      <c r="H27" s="65"/>
      <c r="I27" s="65"/>
      <c r="J27" s="65"/>
      <c r="K27" s="65"/>
      <c r="L27" s="65"/>
      <c r="M27" s="65"/>
      <c r="N27" s="65"/>
      <c r="O27" s="23">
        <f t="shared" si="3"/>
        <v>0</v>
      </c>
      <c r="P27" s="66">
        <f t="shared" si="4"/>
        <v>0</v>
      </c>
      <c r="Q27" s="67" t="e">
        <f t="shared" si="5"/>
        <v>#DIV/0!</v>
      </c>
      <c r="R27" s="1"/>
      <c r="S27" s="1"/>
      <c r="T27" s="1"/>
      <c r="U27" s="1"/>
      <c r="V27" s="1"/>
      <c r="W27" s="1"/>
      <c r="X27" s="1"/>
      <c r="Y27" s="1"/>
      <c r="Z27" s="1"/>
      <c r="AA27" s="1"/>
    </row>
    <row r="28" spans="1:27" ht="15.75" customHeight="1" x14ac:dyDescent="0.2">
      <c r="A28" s="1"/>
      <c r="B28" s="13" t="s">
        <v>39</v>
      </c>
      <c r="C28" s="65"/>
      <c r="D28" s="65"/>
      <c r="E28" s="65"/>
      <c r="F28" s="65"/>
      <c r="G28" s="65"/>
      <c r="H28" s="65"/>
      <c r="I28" s="65"/>
      <c r="J28" s="65"/>
      <c r="K28" s="65"/>
      <c r="L28" s="65"/>
      <c r="M28" s="65"/>
      <c r="N28" s="65"/>
      <c r="O28" s="23">
        <f t="shared" si="3"/>
        <v>0</v>
      </c>
      <c r="P28" s="66">
        <f t="shared" si="4"/>
        <v>0</v>
      </c>
      <c r="Q28" s="67" t="e">
        <f t="shared" si="5"/>
        <v>#DIV/0!</v>
      </c>
      <c r="R28" s="1"/>
      <c r="S28" s="1"/>
      <c r="T28" s="1"/>
      <c r="U28" s="1"/>
      <c r="V28" s="1"/>
      <c r="W28" s="1"/>
      <c r="X28" s="1"/>
      <c r="Y28" s="1"/>
      <c r="Z28" s="1"/>
      <c r="AA28" s="1"/>
    </row>
    <row r="29" spans="1:27" ht="15.75" customHeight="1" x14ac:dyDescent="0.2">
      <c r="A29" s="1"/>
      <c r="B29" s="21" t="s">
        <v>40</v>
      </c>
      <c r="C29" s="65"/>
      <c r="D29" s="65"/>
      <c r="E29" s="65"/>
      <c r="F29" s="65"/>
      <c r="G29" s="65"/>
      <c r="H29" s="65"/>
      <c r="I29" s="65"/>
      <c r="J29" s="65"/>
      <c r="K29" s="65"/>
      <c r="L29" s="65"/>
      <c r="M29" s="65"/>
      <c r="N29" s="65"/>
      <c r="O29" s="23">
        <f t="shared" si="3"/>
        <v>0</v>
      </c>
      <c r="P29" s="66">
        <f t="shared" si="4"/>
        <v>0</v>
      </c>
      <c r="Q29" s="67" t="e">
        <f t="shared" si="5"/>
        <v>#DIV/0!</v>
      </c>
      <c r="R29" s="1"/>
      <c r="S29" s="1"/>
      <c r="T29" s="1"/>
      <c r="U29" s="1"/>
      <c r="V29" s="1"/>
      <c r="W29" s="1"/>
      <c r="X29" s="1"/>
      <c r="Y29" s="1"/>
      <c r="Z29" s="1"/>
      <c r="AA29" s="1"/>
    </row>
    <row r="30" spans="1:27" ht="15.75" customHeight="1" x14ac:dyDescent="0.2">
      <c r="A30" s="1"/>
      <c r="B30" s="13" t="s">
        <v>41</v>
      </c>
      <c r="C30" s="65"/>
      <c r="D30" s="65"/>
      <c r="E30" s="65"/>
      <c r="F30" s="65"/>
      <c r="G30" s="65"/>
      <c r="H30" s="65"/>
      <c r="I30" s="65"/>
      <c r="J30" s="65"/>
      <c r="K30" s="65"/>
      <c r="L30" s="65"/>
      <c r="M30" s="65"/>
      <c r="N30" s="65"/>
      <c r="O30" s="23">
        <f t="shared" si="3"/>
        <v>0</v>
      </c>
      <c r="P30" s="66">
        <f t="shared" si="4"/>
        <v>0</v>
      </c>
      <c r="Q30" s="67" t="e">
        <f t="shared" si="5"/>
        <v>#DIV/0!</v>
      </c>
      <c r="R30" s="1"/>
      <c r="S30" s="1"/>
      <c r="T30" s="1"/>
      <c r="U30" s="1"/>
      <c r="V30" s="1"/>
      <c r="W30" s="1"/>
      <c r="X30" s="1"/>
      <c r="Y30" s="1"/>
      <c r="Z30" s="1"/>
      <c r="AA30" s="1"/>
    </row>
    <row r="31" spans="1:27" ht="15.75" customHeight="1" x14ac:dyDescent="0.2">
      <c r="A31" s="1"/>
      <c r="B31" s="13" t="s">
        <v>42</v>
      </c>
      <c r="C31" s="65"/>
      <c r="D31" s="65"/>
      <c r="E31" s="65"/>
      <c r="F31" s="65"/>
      <c r="G31" s="65"/>
      <c r="H31" s="65"/>
      <c r="I31" s="65"/>
      <c r="J31" s="65"/>
      <c r="K31" s="65"/>
      <c r="L31" s="65"/>
      <c r="M31" s="65"/>
      <c r="N31" s="65"/>
      <c r="O31" s="23">
        <f t="shared" si="3"/>
        <v>0</v>
      </c>
      <c r="P31" s="66">
        <f t="shared" si="4"/>
        <v>0</v>
      </c>
      <c r="Q31" s="67" t="e">
        <f t="shared" si="5"/>
        <v>#DIV/0!</v>
      </c>
      <c r="R31" s="1"/>
      <c r="S31" s="1"/>
      <c r="T31" s="1"/>
      <c r="U31" s="1"/>
      <c r="V31" s="1"/>
      <c r="W31" s="1"/>
      <c r="X31" s="1"/>
      <c r="Y31" s="1"/>
      <c r="Z31" s="1"/>
      <c r="AA31" s="1"/>
    </row>
    <row r="32" spans="1:27" ht="15.75" customHeight="1" x14ac:dyDescent="0.2">
      <c r="A32" s="1"/>
      <c r="B32" s="68" t="s">
        <v>44</v>
      </c>
      <c r="C32" s="69"/>
      <c r="D32" s="69"/>
      <c r="E32" s="69"/>
      <c r="F32" s="69"/>
      <c r="G32" s="69"/>
      <c r="H32" s="69"/>
      <c r="I32" s="69"/>
      <c r="J32" s="69"/>
      <c r="K32" s="69"/>
      <c r="L32" s="69"/>
      <c r="M32" s="69"/>
      <c r="N32" s="69"/>
      <c r="O32" s="70">
        <f t="shared" si="3"/>
        <v>0</v>
      </c>
      <c r="P32" s="72">
        <f t="shared" si="4"/>
        <v>0</v>
      </c>
      <c r="Q32" s="84" t="e">
        <f t="shared" si="5"/>
        <v>#DIV/0!</v>
      </c>
      <c r="R32" s="1"/>
      <c r="S32" s="1"/>
      <c r="T32" s="1"/>
      <c r="U32" s="1"/>
      <c r="V32" s="1"/>
      <c r="W32" s="1"/>
      <c r="X32" s="1"/>
      <c r="Y32" s="1"/>
      <c r="Z32" s="1"/>
      <c r="AA32" s="1"/>
    </row>
    <row r="33" spans="1:27" ht="15.75" customHeight="1" x14ac:dyDescent="0.2">
      <c r="A33" s="1"/>
      <c r="B33" s="86" t="s">
        <v>18</v>
      </c>
      <c r="C33" s="89">
        <f t="shared" ref="C33:Q33" si="6">SUM(C19:C32)</f>
        <v>0</v>
      </c>
      <c r="D33" s="89">
        <f t="shared" si="6"/>
        <v>0</v>
      </c>
      <c r="E33" s="89">
        <f t="shared" si="6"/>
        <v>0</v>
      </c>
      <c r="F33" s="89">
        <f t="shared" si="6"/>
        <v>0</v>
      </c>
      <c r="G33" s="89">
        <f t="shared" si="6"/>
        <v>0</v>
      </c>
      <c r="H33" s="89">
        <f t="shared" si="6"/>
        <v>0</v>
      </c>
      <c r="I33" s="89">
        <f t="shared" si="6"/>
        <v>0</v>
      </c>
      <c r="J33" s="89">
        <f t="shared" si="6"/>
        <v>0</v>
      </c>
      <c r="K33" s="89">
        <f t="shared" si="6"/>
        <v>0</v>
      </c>
      <c r="L33" s="89">
        <f t="shared" si="6"/>
        <v>0</v>
      </c>
      <c r="M33" s="89">
        <f t="shared" si="6"/>
        <v>0</v>
      </c>
      <c r="N33" s="89">
        <f t="shared" si="6"/>
        <v>0</v>
      </c>
      <c r="O33" s="89">
        <f t="shared" si="6"/>
        <v>0</v>
      </c>
      <c r="P33" s="91">
        <f t="shared" si="6"/>
        <v>0</v>
      </c>
      <c r="Q33" s="93" t="e">
        <f t="shared" si="6"/>
        <v>#DIV/0!</v>
      </c>
      <c r="R33" s="1"/>
      <c r="S33" s="1"/>
      <c r="T33" s="1"/>
      <c r="U33" s="1"/>
      <c r="V33" s="1"/>
      <c r="W33" s="1"/>
      <c r="X33" s="1"/>
      <c r="Y33" s="1"/>
      <c r="Z33" s="1"/>
      <c r="AA33" s="1"/>
    </row>
    <row r="34" spans="1:27"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5.75" customHeight="1" x14ac:dyDescent="0.2">
      <c r="A35" s="95" t="s">
        <v>55</v>
      </c>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5.75" customHeight="1" x14ac:dyDescent="0.2">
      <c r="A36" s="1"/>
      <c r="B36" s="19"/>
      <c r="C36" s="1"/>
      <c r="D36" s="1"/>
      <c r="E36" s="1"/>
      <c r="F36" s="1"/>
      <c r="G36" s="1"/>
      <c r="H36" s="1"/>
      <c r="I36" s="1"/>
      <c r="J36" s="1"/>
      <c r="K36" s="1"/>
      <c r="L36" s="1"/>
      <c r="M36" s="1"/>
      <c r="N36" s="1"/>
      <c r="O36" s="1"/>
      <c r="P36" s="1"/>
      <c r="Q36" s="1"/>
      <c r="R36" s="1"/>
      <c r="S36" s="1"/>
      <c r="T36" s="1"/>
      <c r="U36" s="1"/>
      <c r="V36" s="1"/>
      <c r="W36" s="1"/>
      <c r="X36" s="1"/>
      <c r="Y36" s="1"/>
      <c r="Z36" s="1"/>
      <c r="AA36" s="1"/>
    </row>
    <row r="37" spans="1:27" ht="15.75" customHeight="1" x14ac:dyDescent="0.2">
      <c r="A37" s="1"/>
      <c r="B37" s="22" t="str">
        <f>"Total visit spending per segment (" &amp;L8&amp; " 000's)"</f>
        <v>Total visit spending per segment ($ 000's)</v>
      </c>
      <c r="C37" s="50">
        <v>1</v>
      </c>
      <c r="D37" s="50">
        <v>2</v>
      </c>
      <c r="E37" s="50">
        <v>3</v>
      </c>
      <c r="F37" s="50">
        <v>4</v>
      </c>
      <c r="G37" s="50">
        <v>5</v>
      </c>
      <c r="H37" s="50">
        <v>6</v>
      </c>
      <c r="I37" s="50">
        <v>7</v>
      </c>
      <c r="J37" s="50">
        <v>8</v>
      </c>
      <c r="K37" s="50">
        <v>9</v>
      </c>
      <c r="L37" s="50">
        <v>10</v>
      </c>
      <c r="M37" s="50">
        <v>11</v>
      </c>
      <c r="N37" s="50">
        <v>12</v>
      </c>
      <c r="O37" s="29" t="s">
        <v>18</v>
      </c>
      <c r="P37" s="1"/>
      <c r="Q37" s="1"/>
      <c r="R37" s="1"/>
      <c r="S37" s="1"/>
      <c r="T37" s="1"/>
      <c r="U37" s="1"/>
      <c r="V37" s="1"/>
      <c r="W37" s="1"/>
      <c r="X37" s="1"/>
      <c r="Y37" s="1"/>
      <c r="Z37" s="1"/>
      <c r="AA37" s="1"/>
    </row>
    <row r="38" spans="1:27" ht="15.75" customHeight="1" x14ac:dyDescent="0.2">
      <c r="A38" s="1"/>
      <c r="B38" s="52" t="s">
        <v>57</v>
      </c>
      <c r="C38" s="54" t="str">
        <f t="shared" ref="C38:N38" si="7">C18</f>
        <v>Segment 1</v>
      </c>
      <c r="D38" s="56" t="str">
        <f t="shared" si="7"/>
        <v>Segment 2</v>
      </c>
      <c r="E38" s="56">
        <f t="shared" si="7"/>
        <v>0</v>
      </c>
      <c r="F38" s="56">
        <f t="shared" si="7"/>
        <v>0</v>
      </c>
      <c r="G38" s="56">
        <f t="shared" si="7"/>
        <v>0</v>
      </c>
      <c r="H38" s="56">
        <f t="shared" si="7"/>
        <v>0</v>
      </c>
      <c r="I38" s="56">
        <f t="shared" si="7"/>
        <v>0</v>
      </c>
      <c r="J38" s="56">
        <f t="shared" si="7"/>
        <v>0</v>
      </c>
      <c r="K38" s="56">
        <f t="shared" si="7"/>
        <v>0</v>
      </c>
      <c r="L38" s="56">
        <f t="shared" si="7"/>
        <v>0</v>
      </c>
      <c r="M38" s="56">
        <f t="shared" si="7"/>
        <v>0</v>
      </c>
      <c r="N38" s="56">
        <f t="shared" si="7"/>
        <v>0</v>
      </c>
      <c r="O38" s="99"/>
      <c r="P38" s="1"/>
      <c r="Q38" s="1"/>
      <c r="R38" s="1"/>
      <c r="S38" s="1"/>
      <c r="T38" s="1"/>
      <c r="U38" s="1"/>
      <c r="V38" s="1"/>
      <c r="W38" s="1"/>
      <c r="X38" s="1"/>
      <c r="Y38" s="1"/>
      <c r="Z38" s="1"/>
      <c r="AA38" s="1"/>
    </row>
    <row r="39" spans="1:27" ht="15.75" customHeight="1" x14ac:dyDescent="0.2">
      <c r="A39" s="1"/>
      <c r="B39" s="60" t="str">
        <f t="shared" ref="B39:B52" si="8">B19</f>
        <v>All inclusive packages</v>
      </c>
      <c r="C39" s="100">
        <f t="shared" ref="C39:N39" si="9">(C19*C$13)/1000</f>
        <v>0</v>
      </c>
      <c r="D39" s="100">
        <f t="shared" si="9"/>
        <v>0</v>
      </c>
      <c r="E39" s="100">
        <f t="shared" si="9"/>
        <v>0</v>
      </c>
      <c r="F39" s="100">
        <f t="shared" si="9"/>
        <v>0</v>
      </c>
      <c r="G39" s="100">
        <f t="shared" si="9"/>
        <v>0</v>
      </c>
      <c r="H39" s="100">
        <f t="shared" si="9"/>
        <v>0</v>
      </c>
      <c r="I39" s="100">
        <f t="shared" si="9"/>
        <v>0</v>
      </c>
      <c r="J39" s="100">
        <f t="shared" si="9"/>
        <v>0</v>
      </c>
      <c r="K39" s="100">
        <f t="shared" si="9"/>
        <v>0</v>
      </c>
      <c r="L39" s="100">
        <f t="shared" si="9"/>
        <v>0</v>
      </c>
      <c r="M39" s="100">
        <f t="shared" si="9"/>
        <v>0</v>
      </c>
      <c r="N39" s="100">
        <f t="shared" si="9"/>
        <v>0</v>
      </c>
      <c r="O39" s="103">
        <f t="shared" ref="O39:O52" si="10">SUM(C39:N39)</f>
        <v>0</v>
      </c>
      <c r="P39" s="1"/>
      <c r="Q39" s="1"/>
      <c r="R39" s="1"/>
      <c r="S39" s="1"/>
      <c r="T39" s="1"/>
      <c r="U39" s="1"/>
      <c r="V39" s="1"/>
      <c r="W39" s="1"/>
      <c r="X39" s="1"/>
      <c r="Y39" s="1"/>
      <c r="Z39" s="1"/>
      <c r="AA39" s="1"/>
    </row>
    <row r="40" spans="1:27" ht="15.75" customHeight="1" x14ac:dyDescent="0.2">
      <c r="A40" s="1"/>
      <c r="B40" s="13" t="str">
        <f t="shared" si="8"/>
        <v>Accomodation: Hotel, lodges, B&amp;B, bushcamps,...</v>
      </c>
      <c r="C40" s="57">
        <f t="shared" ref="C40:N40" si="11">(C20*C$13)/1000</f>
        <v>0</v>
      </c>
      <c r="D40" s="57">
        <f t="shared" si="11"/>
        <v>0</v>
      </c>
      <c r="E40" s="57">
        <f t="shared" si="11"/>
        <v>0</v>
      </c>
      <c r="F40" s="57">
        <f t="shared" si="11"/>
        <v>0</v>
      </c>
      <c r="G40" s="57">
        <f t="shared" si="11"/>
        <v>0</v>
      </c>
      <c r="H40" s="57">
        <f t="shared" si="11"/>
        <v>0</v>
      </c>
      <c r="I40" s="57">
        <f t="shared" si="11"/>
        <v>0</v>
      </c>
      <c r="J40" s="57">
        <f t="shared" si="11"/>
        <v>0</v>
      </c>
      <c r="K40" s="57">
        <f t="shared" si="11"/>
        <v>0</v>
      </c>
      <c r="L40" s="57">
        <f t="shared" si="11"/>
        <v>0</v>
      </c>
      <c r="M40" s="57">
        <f t="shared" si="11"/>
        <v>0</v>
      </c>
      <c r="N40" s="57">
        <f t="shared" si="11"/>
        <v>0</v>
      </c>
      <c r="O40" s="59">
        <f t="shared" si="10"/>
        <v>0</v>
      </c>
      <c r="P40" s="1"/>
      <c r="Q40" s="1"/>
      <c r="R40" s="1"/>
      <c r="S40" s="1"/>
      <c r="T40" s="1"/>
      <c r="U40" s="1"/>
      <c r="V40" s="1"/>
      <c r="W40" s="1"/>
      <c r="X40" s="1"/>
      <c r="Y40" s="1"/>
      <c r="Z40" s="1"/>
      <c r="AA40" s="1"/>
    </row>
    <row r="41" spans="1:27" ht="15.75" customHeight="1" x14ac:dyDescent="0.2">
      <c r="A41" s="1"/>
      <c r="B41" s="13" t="str">
        <f t="shared" si="8"/>
        <v xml:space="preserve">Camping fees </v>
      </c>
      <c r="C41" s="57">
        <f t="shared" ref="C41:N41" si="12">(C21*C$13)/1000</f>
        <v>0</v>
      </c>
      <c r="D41" s="57">
        <f t="shared" si="12"/>
        <v>0</v>
      </c>
      <c r="E41" s="57">
        <f t="shared" si="12"/>
        <v>0</v>
      </c>
      <c r="F41" s="57">
        <f t="shared" si="12"/>
        <v>0</v>
      </c>
      <c r="G41" s="57">
        <f t="shared" si="12"/>
        <v>0</v>
      </c>
      <c r="H41" s="57">
        <f t="shared" si="12"/>
        <v>0</v>
      </c>
      <c r="I41" s="57">
        <f t="shared" si="12"/>
        <v>0</v>
      </c>
      <c r="J41" s="57">
        <f t="shared" si="12"/>
        <v>0</v>
      </c>
      <c r="K41" s="57">
        <f t="shared" si="12"/>
        <v>0</v>
      </c>
      <c r="L41" s="57">
        <f t="shared" si="12"/>
        <v>0</v>
      </c>
      <c r="M41" s="57">
        <f t="shared" si="12"/>
        <v>0</v>
      </c>
      <c r="N41" s="57">
        <f t="shared" si="12"/>
        <v>0</v>
      </c>
      <c r="O41" s="59">
        <f t="shared" si="10"/>
        <v>0</v>
      </c>
      <c r="P41" s="1"/>
      <c r="Q41" s="1"/>
      <c r="R41" s="1"/>
      <c r="S41" s="1"/>
      <c r="T41" s="1"/>
      <c r="U41" s="1"/>
      <c r="V41" s="1"/>
      <c r="W41" s="1"/>
      <c r="X41" s="1"/>
      <c r="Y41" s="1"/>
      <c r="Z41" s="1"/>
      <c r="AA41" s="1"/>
    </row>
    <row r="42" spans="1:27" ht="15.75" customHeight="1" x14ac:dyDescent="0.2">
      <c r="A42" s="1"/>
      <c r="B42" s="13" t="str">
        <f t="shared" si="8"/>
        <v>Meals: Restaurants, bars,...</v>
      </c>
      <c r="C42" s="57">
        <f t="shared" ref="C42:N42" si="13">(C22*C$13)/1000</f>
        <v>0</v>
      </c>
      <c r="D42" s="57">
        <f t="shared" si="13"/>
        <v>0</v>
      </c>
      <c r="E42" s="57">
        <f t="shared" si="13"/>
        <v>0</v>
      </c>
      <c r="F42" s="57">
        <f t="shared" si="13"/>
        <v>0</v>
      </c>
      <c r="G42" s="57">
        <f t="shared" si="13"/>
        <v>0</v>
      </c>
      <c r="H42" s="57">
        <f t="shared" si="13"/>
        <v>0</v>
      </c>
      <c r="I42" s="57">
        <f t="shared" si="13"/>
        <v>0</v>
      </c>
      <c r="J42" s="57">
        <f t="shared" si="13"/>
        <v>0</v>
      </c>
      <c r="K42" s="57">
        <f t="shared" si="13"/>
        <v>0</v>
      </c>
      <c r="L42" s="57">
        <f t="shared" si="13"/>
        <v>0</v>
      </c>
      <c r="M42" s="57">
        <f t="shared" si="13"/>
        <v>0</v>
      </c>
      <c r="N42" s="57">
        <f t="shared" si="13"/>
        <v>0</v>
      </c>
      <c r="O42" s="59">
        <f t="shared" si="10"/>
        <v>0</v>
      </c>
      <c r="P42" s="1"/>
      <c r="Q42" s="1"/>
      <c r="R42" s="1"/>
      <c r="S42" s="1"/>
      <c r="T42" s="1"/>
      <c r="U42" s="1"/>
      <c r="V42" s="1"/>
      <c r="W42" s="1"/>
      <c r="X42" s="1"/>
      <c r="Y42" s="1"/>
      <c r="Z42" s="1"/>
      <c r="AA42" s="1"/>
    </row>
    <row r="43" spans="1:27" ht="15.75" customHeight="1" x14ac:dyDescent="0.2">
      <c r="A43" s="1"/>
      <c r="B43" s="13" t="str">
        <f t="shared" si="8"/>
        <v xml:space="preserve">Groceries, </v>
      </c>
      <c r="C43" s="57">
        <f t="shared" ref="C43:N43" si="14">(C23*C$13)/1000</f>
        <v>0</v>
      </c>
      <c r="D43" s="57">
        <f t="shared" si="14"/>
        <v>0</v>
      </c>
      <c r="E43" s="57">
        <f t="shared" si="14"/>
        <v>0</v>
      </c>
      <c r="F43" s="57">
        <f t="shared" si="14"/>
        <v>0</v>
      </c>
      <c r="G43" s="57">
        <f t="shared" si="14"/>
        <v>0</v>
      </c>
      <c r="H43" s="57">
        <f t="shared" si="14"/>
        <v>0</v>
      </c>
      <c r="I43" s="57">
        <f t="shared" si="14"/>
        <v>0</v>
      </c>
      <c r="J43" s="57">
        <f t="shared" si="14"/>
        <v>0</v>
      </c>
      <c r="K43" s="57">
        <f t="shared" si="14"/>
        <v>0</v>
      </c>
      <c r="L43" s="57">
        <f t="shared" si="14"/>
        <v>0</v>
      </c>
      <c r="M43" s="57">
        <f t="shared" si="14"/>
        <v>0</v>
      </c>
      <c r="N43" s="57">
        <f t="shared" si="14"/>
        <v>0</v>
      </c>
      <c r="O43" s="59">
        <f t="shared" si="10"/>
        <v>0</v>
      </c>
      <c r="P43" s="1"/>
      <c r="Q43" s="1"/>
      <c r="R43" s="1"/>
      <c r="S43" s="1"/>
      <c r="T43" s="1"/>
      <c r="U43" s="1"/>
      <c r="V43" s="1"/>
      <c r="W43" s="1"/>
      <c r="X43" s="1"/>
      <c r="Y43" s="1"/>
      <c r="Z43" s="1"/>
      <c r="AA43" s="1"/>
    </row>
    <row r="44" spans="1:27" ht="15.75" customHeight="1" x14ac:dyDescent="0.2">
      <c r="A44" s="1"/>
      <c r="B44" s="13" t="str">
        <f t="shared" si="8"/>
        <v xml:space="preserve">Gas &amp; oil </v>
      </c>
      <c r="C44" s="57">
        <f t="shared" ref="C44:N44" si="15">(C24*C$13)/1000</f>
        <v>0</v>
      </c>
      <c r="D44" s="57">
        <f t="shared" si="15"/>
        <v>0</v>
      </c>
      <c r="E44" s="57">
        <f t="shared" si="15"/>
        <v>0</v>
      </c>
      <c r="F44" s="57">
        <f t="shared" si="15"/>
        <v>0</v>
      </c>
      <c r="G44" s="57">
        <f t="shared" si="15"/>
        <v>0</v>
      </c>
      <c r="H44" s="57">
        <f t="shared" si="15"/>
        <v>0</v>
      </c>
      <c r="I44" s="57">
        <f t="shared" si="15"/>
        <v>0</v>
      </c>
      <c r="J44" s="57">
        <f t="shared" si="15"/>
        <v>0</v>
      </c>
      <c r="K44" s="57">
        <f t="shared" si="15"/>
        <v>0</v>
      </c>
      <c r="L44" s="57">
        <f t="shared" si="15"/>
        <v>0</v>
      </c>
      <c r="M44" s="57">
        <f t="shared" si="15"/>
        <v>0</v>
      </c>
      <c r="N44" s="57">
        <f t="shared" si="15"/>
        <v>0</v>
      </c>
      <c r="O44" s="59">
        <f t="shared" si="10"/>
        <v>0</v>
      </c>
      <c r="P44" s="1"/>
      <c r="Q44" s="1"/>
      <c r="R44" s="1"/>
      <c r="S44" s="1"/>
      <c r="T44" s="1"/>
      <c r="U44" s="1"/>
      <c r="V44" s="1"/>
      <c r="W44" s="1"/>
      <c r="X44" s="1"/>
      <c r="Y44" s="1"/>
      <c r="Z44" s="1"/>
      <c r="AA44" s="1"/>
    </row>
    <row r="45" spans="1:27" ht="15.75" customHeight="1" x14ac:dyDescent="0.2">
      <c r="A45" s="1"/>
      <c r="B45" s="13" t="str">
        <f t="shared" si="8"/>
        <v xml:space="preserve">Local transportation </v>
      </c>
      <c r="C45" s="57">
        <f t="shared" ref="C45:N45" si="16">(C25*C$13)/1000</f>
        <v>0</v>
      </c>
      <c r="D45" s="57">
        <f t="shared" si="16"/>
        <v>0</v>
      </c>
      <c r="E45" s="57">
        <f t="shared" si="16"/>
        <v>0</v>
      </c>
      <c r="F45" s="57">
        <f t="shared" si="16"/>
        <v>0</v>
      </c>
      <c r="G45" s="57">
        <f t="shared" si="16"/>
        <v>0</v>
      </c>
      <c r="H45" s="57">
        <f t="shared" si="16"/>
        <v>0</v>
      </c>
      <c r="I45" s="57">
        <f t="shared" si="16"/>
        <v>0</v>
      </c>
      <c r="J45" s="57">
        <f t="shared" si="16"/>
        <v>0</v>
      </c>
      <c r="K45" s="57">
        <f t="shared" si="16"/>
        <v>0</v>
      </c>
      <c r="L45" s="57">
        <f t="shared" si="16"/>
        <v>0</v>
      </c>
      <c r="M45" s="57">
        <f t="shared" si="16"/>
        <v>0</v>
      </c>
      <c r="N45" s="57">
        <f t="shared" si="16"/>
        <v>0</v>
      </c>
      <c r="O45" s="59">
        <f t="shared" si="10"/>
        <v>0</v>
      </c>
      <c r="P45" s="1"/>
      <c r="Q45" s="1"/>
      <c r="R45" s="1"/>
      <c r="S45" s="1"/>
      <c r="T45" s="1"/>
      <c r="U45" s="1"/>
      <c r="V45" s="1"/>
      <c r="W45" s="1"/>
      <c r="X45" s="1"/>
      <c r="Y45" s="1"/>
      <c r="Z45" s="1"/>
      <c r="AA45" s="1"/>
    </row>
    <row r="46" spans="1:27" ht="15.75" customHeight="1" x14ac:dyDescent="0.2">
      <c r="A46" s="1"/>
      <c r="B46" s="13" t="str">
        <f t="shared" si="8"/>
        <v>Admissions &amp; fees (PA entry)</v>
      </c>
      <c r="C46" s="57">
        <f t="shared" ref="C46:N46" si="17">(C26*C$13)/1000</f>
        <v>0</v>
      </c>
      <c r="D46" s="57">
        <f t="shared" si="17"/>
        <v>0</v>
      </c>
      <c r="E46" s="57">
        <f t="shared" si="17"/>
        <v>0</v>
      </c>
      <c r="F46" s="57">
        <f t="shared" si="17"/>
        <v>0</v>
      </c>
      <c r="G46" s="57">
        <f t="shared" si="17"/>
        <v>0</v>
      </c>
      <c r="H46" s="57">
        <f t="shared" si="17"/>
        <v>0</v>
      </c>
      <c r="I46" s="57">
        <f t="shared" si="17"/>
        <v>0</v>
      </c>
      <c r="J46" s="57">
        <f t="shared" si="17"/>
        <v>0</v>
      </c>
      <c r="K46" s="57">
        <f t="shared" si="17"/>
        <v>0</v>
      </c>
      <c r="L46" s="57">
        <f t="shared" si="17"/>
        <v>0</v>
      </c>
      <c r="M46" s="57">
        <f t="shared" si="17"/>
        <v>0</v>
      </c>
      <c r="N46" s="57">
        <f t="shared" si="17"/>
        <v>0</v>
      </c>
      <c r="O46" s="59">
        <f t="shared" si="10"/>
        <v>0</v>
      </c>
      <c r="P46" s="1"/>
      <c r="Q46" s="1"/>
      <c r="R46" s="1"/>
      <c r="S46" s="1"/>
      <c r="T46" s="1"/>
      <c r="U46" s="1"/>
      <c r="V46" s="1"/>
      <c r="W46" s="1"/>
      <c r="X46" s="1"/>
      <c r="Y46" s="1"/>
      <c r="Z46" s="1"/>
      <c r="AA46" s="1"/>
    </row>
    <row r="47" spans="1:27" ht="15.75" customHeight="1" x14ac:dyDescent="0.2">
      <c r="A47" s="1"/>
      <c r="B47" s="13" t="str">
        <f t="shared" si="8"/>
        <v>Activities and Guided Tours (e.g. game drives)</v>
      </c>
      <c r="C47" s="57">
        <f t="shared" ref="C47:N47" si="18">(C27*C$13)/1000</f>
        <v>0</v>
      </c>
      <c r="D47" s="57">
        <f t="shared" si="18"/>
        <v>0</v>
      </c>
      <c r="E47" s="57">
        <f t="shared" si="18"/>
        <v>0</v>
      </c>
      <c r="F47" s="57">
        <f t="shared" si="18"/>
        <v>0</v>
      </c>
      <c r="G47" s="57">
        <f t="shared" si="18"/>
        <v>0</v>
      </c>
      <c r="H47" s="57">
        <f t="shared" si="18"/>
        <v>0</v>
      </c>
      <c r="I47" s="57">
        <f t="shared" si="18"/>
        <v>0</v>
      </c>
      <c r="J47" s="57">
        <f t="shared" si="18"/>
        <v>0</v>
      </c>
      <c r="K47" s="57">
        <f t="shared" si="18"/>
        <v>0</v>
      </c>
      <c r="L47" s="57">
        <f t="shared" si="18"/>
        <v>0</v>
      </c>
      <c r="M47" s="57">
        <f t="shared" si="18"/>
        <v>0</v>
      </c>
      <c r="N47" s="57">
        <f t="shared" si="18"/>
        <v>0</v>
      </c>
      <c r="O47" s="59">
        <f t="shared" si="10"/>
        <v>0</v>
      </c>
      <c r="P47" s="1"/>
      <c r="Q47" s="1"/>
      <c r="R47" s="1"/>
      <c r="S47" s="1"/>
      <c r="T47" s="1"/>
      <c r="U47" s="1"/>
      <c r="V47" s="1"/>
      <c r="W47" s="1"/>
      <c r="X47" s="1"/>
      <c r="Y47" s="1"/>
      <c r="Z47" s="1"/>
      <c r="AA47" s="1"/>
    </row>
    <row r="48" spans="1:27" ht="15.75" customHeight="1" x14ac:dyDescent="0.2">
      <c r="A48" s="1"/>
      <c r="B48" s="13" t="str">
        <f t="shared" si="8"/>
        <v>Souvenirs and other gifts</v>
      </c>
      <c r="C48" s="57">
        <f t="shared" ref="C48:N48" si="19">(C28*C$13)/1000</f>
        <v>0</v>
      </c>
      <c r="D48" s="57">
        <f t="shared" si="19"/>
        <v>0</v>
      </c>
      <c r="E48" s="57">
        <f t="shared" si="19"/>
        <v>0</v>
      </c>
      <c r="F48" s="57">
        <f t="shared" si="19"/>
        <v>0</v>
      </c>
      <c r="G48" s="57">
        <f t="shared" si="19"/>
        <v>0</v>
      </c>
      <c r="H48" s="57">
        <f t="shared" si="19"/>
        <v>0</v>
      </c>
      <c r="I48" s="57">
        <f t="shared" si="19"/>
        <v>0</v>
      </c>
      <c r="J48" s="57">
        <f t="shared" si="19"/>
        <v>0</v>
      </c>
      <c r="K48" s="57">
        <f t="shared" si="19"/>
        <v>0</v>
      </c>
      <c r="L48" s="57">
        <f t="shared" si="19"/>
        <v>0</v>
      </c>
      <c r="M48" s="57">
        <f t="shared" si="19"/>
        <v>0</v>
      </c>
      <c r="N48" s="57">
        <f t="shared" si="19"/>
        <v>0</v>
      </c>
      <c r="O48" s="59">
        <f t="shared" si="10"/>
        <v>0</v>
      </c>
      <c r="P48" s="1"/>
      <c r="Q48" s="1"/>
      <c r="R48" s="1"/>
      <c r="S48" s="1"/>
      <c r="T48" s="1"/>
      <c r="U48" s="1"/>
      <c r="V48" s="1"/>
      <c r="W48" s="1"/>
      <c r="X48" s="1"/>
      <c r="Y48" s="1"/>
      <c r="Z48" s="1"/>
      <c r="AA48" s="1"/>
    </row>
    <row r="49" spans="1:27" ht="15.75" customHeight="1" x14ac:dyDescent="0.2">
      <c r="A49" s="1"/>
      <c r="B49" s="13" t="str">
        <f t="shared" si="8"/>
        <v>Resource/Trophy Fees (purchase of resource, license, permits)</v>
      </c>
      <c r="C49" s="57">
        <f t="shared" ref="C49:N49" si="20">(C29*C$13)/1000</f>
        <v>0</v>
      </c>
      <c r="D49" s="57">
        <f t="shared" si="20"/>
        <v>0</v>
      </c>
      <c r="E49" s="57">
        <f t="shared" si="20"/>
        <v>0</v>
      </c>
      <c r="F49" s="57">
        <f t="shared" si="20"/>
        <v>0</v>
      </c>
      <c r="G49" s="57">
        <f t="shared" si="20"/>
        <v>0</v>
      </c>
      <c r="H49" s="57">
        <f t="shared" si="20"/>
        <v>0</v>
      </c>
      <c r="I49" s="57">
        <f t="shared" si="20"/>
        <v>0</v>
      </c>
      <c r="J49" s="57">
        <f t="shared" si="20"/>
        <v>0</v>
      </c>
      <c r="K49" s="57">
        <f t="shared" si="20"/>
        <v>0</v>
      </c>
      <c r="L49" s="57">
        <f t="shared" si="20"/>
        <v>0</v>
      </c>
      <c r="M49" s="57">
        <f t="shared" si="20"/>
        <v>0</v>
      </c>
      <c r="N49" s="57">
        <f t="shared" si="20"/>
        <v>0</v>
      </c>
      <c r="O49" s="59">
        <f t="shared" si="10"/>
        <v>0</v>
      </c>
      <c r="P49" s="1"/>
      <c r="Q49" s="1"/>
      <c r="R49" s="1"/>
      <c r="S49" s="1"/>
      <c r="T49" s="1"/>
      <c r="U49" s="1"/>
      <c r="V49" s="1"/>
      <c r="W49" s="1"/>
      <c r="X49" s="1"/>
      <c r="Y49" s="1"/>
      <c r="Z49" s="1"/>
      <c r="AA49" s="1"/>
    </row>
    <row r="50" spans="1:27" ht="15.75" customHeight="1" x14ac:dyDescent="0.2">
      <c r="A50" s="1"/>
      <c r="B50" s="13" t="str">
        <f t="shared" si="8"/>
        <v>Local dip, pack, taxidermy</v>
      </c>
      <c r="C50" s="57">
        <f t="shared" ref="C50:N50" si="21">(C30*C$13)/1000</f>
        <v>0</v>
      </c>
      <c r="D50" s="57">
        <f t="shared" si="21"/>
        <v>0</v>
      </c>
      <c r="E50" s="57">
        <f t="shared" si="21"/>
        <v>0</v>
      </c>
      <c r="F50" s="57">
        <f t="shared" si="21"/>
        <v>0</v>
      </c>
      <c r="G50" s="57">
        <f t="shared" si="21"/>
        <v>0</v>
      </c>
      <c r="H50" s="57">
        <f t="shared" si="21"/>
        <v>0</v>
      </c>
      <c r="I50" s="57">
        <f t="shared" si="21"/>
        <v>0</v>
      </c>
      <c r="J50" s="57">
        <f t="shared" si="21"/>
        <v>0</v>
      </c>
      <c r="K50" s="57">
        <f t="shared" si="21"/>
        <v>0</v>
      </c>
      <c r="L50" s="57">
        <f t="shared" si="21"/>
        <v>0</v>
      </c>
      <c r="M50" s="57">
        <f t="shared" si="21"/>
        <v>0</v>
      </c>
      <c r="N50" s="57">
        <f t="shared" si="21"/>
        <v>0</v>
      </c>
      <c r="O50" s="59">
        <f t="shared" si="10"/>
        <v>0</v>
      </c>
      <c r="P50" s="1"/>
      <c r="Q50" s="1"/>
      <c r="R50" s="1"/>
      <c r="S50" s="1"/>
      <c r="T50" s="1"/>
      <c r="U50" s="1"/>
      <c r="V50" s="1"/>
      <c r="W50" s="1"/>
      <c r="X50" s="1"/>
      <c r="Y50" s="1"/>
      <c r="Z50" s="1"/>
      <c r="AA50" s="1"/>
    </row>
    <row r="51" spans="1:27" ht="15.75" customHeight="1" x14ac:dyDescent="0.2">
      <c r="A51" s="1"/>
      <c r="B51" s="13" t="str">
        <f t="shared" si="8"/>
        <v>Gratuities and Tips</v>
      </c>
      <c r="C51" s="57">
        <f t="shared" ref="C51:N51" si="22">(C31*C$13)/1000</f>
        <v>0</v>
      </c>
      <c r="D51" s="57">
        <f t="shared" si="22"/>
        <v>0</v>
      </c>
      <c r="E51" s="57">
        <f t="shared" si="22"/>
        <v>0</v>
      </c>
      <c r="F51" s="57">
        <f t="shared" si="22"/>
        <v>0</v>
      </c>
      <c r="G51" s="57">
        <f t="shared" si="22"/>
        <v>0</v>
      </c>
      <c r="H51" s="57">
        <f t="shared" si="22"/>
        <v>0</v>
      </c>
      <c r="I51" s="57">
        <f t="shared" si="22"/>
        <v>0</v>
      </c>
      <c r="J51" s="57">
        <f t="shared" si="22"/>
        <v>0</v>
      </c>
      <c r="K51" s="57">
        <f t="shared" si="22"/>
        <v>0</v>
      </c>
      <c r="L51" s="57">
        <f t="shared" si="22"/>
        <v>0</v>
      </c>
      <c r="M51" s="57">
        <f t="shared" si="22"/>
        <v>0</v>
      </c>
      <c r="N51" s="57">
        <f t="shared" si="22"/>
        <v>0</v>
      </c>
      <c r="O51" s="59">
        <f t="shared" si="10"/>
        <v>0</v>
      </c>
      <c r="P51" s="1"/>
      <c r="Q51" s="1"/>
      <c r="R51" s="1"/>
      <c r="S51" s="1"/>
      <c r="T51" s="1"/>
      <c r="U51" s="1"/>
      <c r="V51" s="1"/>
      <c r="W51" s="1"/>
      <c r="X51" s="1"/>
      <c r="Y51" s="1"/>
      <c r="Z51" s="1"/>
      <c r="AA51" s="1"/>
    </row>
    <row r="52" spans="1:27" ht="15.75" customHeight="1" x14ac:dyDescent="0.2">
      <c r="A52" s="1"/>
      <c r="B52" s="68" t="str">
        <f t="shared" si="8"/>
        <v>Other expenses</v>
      </c>
      <c r="C52" s="118">
        <f t="shared" ref="C52:N52" si="23">(C32*C$13)/1000</f>
        <v>0</v>
      </c>
      <c r="D52" s="118">
        <f t="shared" si="23"/>
        <v>0</v>
      </c>
      <c r="E52" s="118">
        <f t="shared" si="23"/>
        <v>0</v>
      </c>
      <c r="F52" s="118">
        <f t="shared" si="23"/>
        <v>0</v>
      </c>
      <c r="G52" s="118">
        <f t="shared" si="23"/>
        <v>0</v>
      </c>
      <c r="H52" s="118">
        <f t="shared" si="23"/>
        <v>0</v>
      </c>
      <c r="I52" s="118">
        <f t="shared" si="23"/>
        <v>0</v>
      </c>
      <c r="J52" s="118">
        <f t="shared" si="23"/>
        <v>0</v>
      </c>
      <c r="K52" s="118">
        <f t="shared" si="23"/>
        <v>0</v>
      </c>
      <c r="L52" s="118">
        <f t="shared" si="23"/>
        <v>0</v>
      </c>
      <c r="M52" s="118">
        <f t="shared" si="23"/>
        <v>0</v>
      </c>
      <c r="N52" s="118">
        <f t="shared" si="23"/>
        <v>0</v>
      </c>
      <c r="O52" s="121">
        <f t="shared" si="10"/>
        <v>0</v>
      </c>
      <c r="P52" s="1"/>
      <c r="Q52" s="1"/>
      <c r="R52" s="1"/>
      <c r="S52" s="1"/>
      <c r="T52" s="1"/>
      <c r="U52" s="1"/>
      <c r="V52" s="1"/>
      <c r="W52" s="1"/>
      <c r="X52" s="1"/>
      <c r="Y52" s="1"/>
      <c r="Z52" s="1"/>
      <c r="AA52" s="1"/>
    </row>
    <row r="53" spans="1:27" ht="15.75" customHeight="1" x14ac:dyDescent="0.2">
      <c r="A53" s="1"/>
      <c r="B53" s="86" t="s">
        <v>18</v>
      </c>
      <c r="C53" s="122">
        <f t="shared" ref="C53:O53" si="24">SUM(C39:C52)</f>
        <v>0</v>
      </c>
      <c r="D53" s="122">
        <f t="shared" si="24"/>
        <v>0</v>
      </c>
      <c r="E53" s="122">
        <f t="shared" si="24"/>
        <v>0</v>
      </c>
      <c r="F53" s="122">
        <f t="shared" si="24"/>
        <v>0</v>
      </c>
      <c r="G53" s="122">
        <f t="shared" si="24"/>
        <v>0</v>
      </c>
      <c r="H53" s="122">
        <f t="shared" si="24"/>
        <v>0</v>
      </c>
      <c r="I53" s="122">
        <f t="shared" si="24"/>
        <v>0</v>
      </c>
      <c r="J53" s="122">
        <f t="shared" si="24"/>
        <v>0</v>
      </c>
      <c r="K53" s="122">
        <f t="shared" si="24"/>
        <v>0</v>
      </c>
      <c r="L53" s="122">
        <f t="shared" si="24"/>
        <v>0</v>
      </c>
      <c r="M53" s="122">
        <f t="shared" si="24"/>
        <v>0</v>
      </c>
      <c r="N53" s="122">
        <f t="shared" si="24"/>
        <v>0</v>
      </c>
      <c r="O53" s="123">
        <f t="shared" si="24"/>
        <v>0</v>
      </c>
      <c r="P53" s="124"/>
      <c r="Q53" s="1"/>
      <c r="R53" s="1"/>
      <c r="S53" s="1"/>
      <c r="T53" s="1"/>
      <c r="U53" s="1"/>
      <c r="V53" s="1"/>
      <c r="W53" s="1"/>
      <c r="X53" s="1"/>
      <c r="Y53" s="1"/>
      <c r="Z53" s="1"/>
      <c r="AA53" s="1"/>
    </row>
    <row r="54" spans="1:27"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5.75" customHeight="1" x14ac:dyDescent="0.2">
      <c r="B55" s="95" t="s">
        <v>75</v>
      </c>
      <c r="C55" s="251" t="str">
        <f>C9</f>
        <v>national</v>
      </c>
      <c r="D55" s="252" t="s">
        <v>186</v>
      </c>
      <c r="E55" s="253" t="str">
        <f>C7</f>
        <v>Brazil</v>
      </c>
      <c r="F55" s="1"/>
      <c r="G55" s="1"/>
      <c r="H55" s="1"/>
      <c r="I55" s="1"/>
      <c r="J55" s="1"/>
      <c r="K55" s="1"/>
      <c r="L55" s="1"/>
      <c r="M55" s="1"/>
      <c r="N55" s="1"/>
      <c r="O55" s="1"/>
      <c r="P55" s="1"/>
      <c r="Q55" s="1"/>
      <c r="R55" s="1"/>
      <c r="S55" s="1"/>
      <c r="T55" s="1"/>
      <c r="U55" s="1"/>
      <c r="V55" s="1"/>
      <c r="W55" s="1"/>
      <c r="X55" s="1"/>
      <c r="Y55" s="1"/>
      <c r="Z55" s="1"/>
      <c r="AA55" s="1"/>
    </row>
    <row r="56" spans="1:27" ht="12.75" customHeight="1" x14ac:dyDescent="0.2">
      <c r="A56" s="1"/>
      <c r="B56" s="43"/>
      <c r="D56" s="43"/>
      <c r="E56" s="125"/>
      <c r="F56" s="126"/>
      <c r="H56" s="127"/>
      <c r="I56" s="1"/>
      <c r="J56" s="1"/>
      <c r="K56" s="1"/>
      <c r="L56" s="1"/>
      <c r="M56" s="1"/>
      <c r="N56" s="1"/>
      <c r="O56" s="1"/>
      <c r="P56" s="1"/>
      <c r="Q56" s="1"/>
      <c r="R56" s="1"/>
      <c r="S56" s="1"/>
      <c r="T56" s="1"/>
      <c r="U56" s="1"/>
      <c r="V56" s="1"/>
      <c r="W56" s="1"/>
      <c r="X56" s="1"/>
      <c r="Y56" s="1"/>
      <c r="Z56" s="1"/>
      <c r="AA56" s="1"/>
    </row>
    <row r="57" spans="1:27" ht="13.5" customHeight="1" thickBot="1" x14ac:dyDescent="0.25">
      <c r="A57" s="1"/>
      <c r="B57" s="43" t="s">
        <v>76</v>
      </c>
      <c r="C57" s="2"/>
      <c r="D57" s="2"/>
      <c r="E57" s="2"/>
      <c r="F57" s="2"/>
      <c r="G57" s="2"/>
      <c r="H57" s="2"/>
      <c r="I57" s="2"/>
      <c r="J57" s="2"/>
      <c r="K57" s="2"/>
      <c r="L57" s="2"/>
      <c r="M57" s="2"/>
      <c r="N57" s="2"/>
      <c r="O57" s="2"/>
      <c r="P57" s="2"/>
      <c r="Q57" s="2"/>
      <c r="R57" s="1"/>
      <c r="S57" s="1"/>
      <c r="T57" s="1"/>
      <c r="U57" s="1"/>
      <c r="V57" s="1"/>
      <c r="W57" s="1"/>
      <c r="X57" s="1"/>
      <c r="Y57" s="1"/>
      <c r="Z57" s="1"/>
      <c r="AA57" s="1"/>
    </row>
    <row r="58" spans="1:27" ht="20.25" customHeight="1" x14ac:dyDescent="0.2">
      <c r="A58" s="1"/>
      <c r="B58" s="128"/>
      <c r="C58" s="266" t="s">
        <v>77</v>
      </c>
      <c r="D58" s="267"/>
      <c r="E58" s="267"/>
      <c r="F58" s="268"/>
      <c r="G58" s="266" t="s">
        <v>78</v>
      </c>
      <c r="H58" s="267"/>
      <c r="I58" s="267"/>
      <c r="J58" s="269"/>
      <c r="K58" s="129"/>
      <c r="L58" s="41"/>
      <c r="M58" s="129"/>
      <c r="N58" s="129"/>
      <c r="O58" s="2"/>
      <c r="P58" s="2"/>
      <c r="Q58" s="2"/>
      <c r="R58" s="1"/>
      <c r="S58" s="1"/>
      <c r="T58" s="1"/>
      <c r="U58" s="1"/>
      <c r="V58" s="1"/>
      <c r="W58" s="1"/>
      <c r="X58" s="1"/>
      <c r="Y58" s="1"/>
      <c r="Z58" s="1"/>
      <c r="AA58" s="1"/>
    </row>
    <row r="59" spans="1:27" ht="32.25" customHeight="1" thickBot="1" x14ac:dyDescent="0.25">
      <c r="A59" s="1"/>
      <c r="B59" s="130" t="s">
        <v>79</v>
      </c>
      <c r="C59" s="131" t="s">
        <v>80</v>
      </c>
      <c r="D59" s="131" t="s">
        <v>81</v>
      </c>
      <c r="E59" s="131" t="s">
        <v>82</v>
      </c>
      <c r="F59" s="196" t="s">
        <v>139</v>
      </c>
      <c r="G59" s="132" t="s">
        <v>153</v>
      </c>
      <c r="H59" s="132" t="s">
        <v>81</v>
      </c>
      <c r="I59" s="132" t="s">
        <v>154</v>
      </c>
      <c r="J59" s="197" t="s">
        <v>160</v>
      </c>
      <c r="K59" s="37" t="s">
        <v>99</v>
      </c>
      <c r="L59" s="114"/>
      <c r="M59" s="1"/>
      <c r="N59" s="1"/>
      <c r="O59" s="1"/>
      <c r="P59" s="1"/>
      <c r="Q59" s="1"/>
      <c r="R59" s="1"/>
      <c r="S59" s="1"/>
      <c r="T59" s="1"/>
      <c r="U59" s="1"/>
      <c r="V59" s="1"/>
      <c r="W59" s="1"/>
      <c r="X59" s="1"/>
      <c r="Y59" s="1"/>
      <c r="Z59" s="1"/>
      <c r="AA59" s="1"/>
    </row>
    <row r="60" spans="1:27" ht="12.75" customHeight="1" thickBot="1" x14ac:dyDescent="0.25">
      <c r="A60" s="1"/>
      <c r="B60" s="133" t="s">
        <v>30</v>
      </c>
      <c r="C60" s="189">
        <f>IF($C$9="rural",MULTIPLIERS!B3,IF($C$9="smaller metro",MULTIPLIERS!B18,IF($C$9="larger metro", MULTIPLIERS!B33,IF($C$9="province",MULTIPLIERS!B48,MULTIPLIERS!B63))))</f>
        <v>68.210475000000002</v>
      </c>
      <c r="D60" s="189">
        <f>IF($C$9="rural",MULTIPLIERS!C3,IF($C$9="smaller metro",MULTIPLIERS!C18,IF($C$9="larger metro", MULTIPLIERS!C33,IF($C$9="province",MULTIPLIERS!C48,MULTIPLIERS!C63))))</f>
        <v>0.42749999999999999</v>
      </c>
      <c r="E60" s="189">
        <f>IF($C$9="rural",MULTIPLIERS!D3,IF($C$9="smaller metro",MULTIPLIERS!D18,IF($C$9="larger metro", MULTIPLIERS!D33,IF($C$9="province",MULTIPLIERS!D48,MULTIPLIERS!D63))))</f>
        <v>0.52500000000000002</v>
      </c>
      <c r="F60" s="189">
        <f>IF($C$9="rural",MULTIPLIERS!E3,IF($C$9="smaller metro",MULTIPLIERS!E18,IF($C$9="larger metro", MULTIPLIERS!E33,IF($C$9="province",MULTIPLIERS!E48,MULTIPLIERS!E63))))</f>
        <v>4.6041833443072608</v>
      </c>
      <c r="G60" s="189">
        <f>IF($C$9="rural",MULTIPLIERS!F3,IF($C$9="smaller metro",MULTIPLIERS!F18,IF($C$9="larger metro", MULTIPLIERS!F33,IF($C$9="province",MULTIPLIERS!F48,MULTIPLIERS!F63))))</f>
        <v>151.79544999999999</v>
      </c>
      <c r="H60" s="189">
        <f>IF($C$9="rural",MULTIPLIERS!G3,IF($C$9="smaller metro",MULTIPLIERS!G18,IF($C$9="larger metro", MULTIPLIERS!G33,IF($C$9="province",MULTIPLIERS!G48,MULTIPLIERS!G63))))</f>
        <v>1.2050000000000001</v>
      </c>
      <c r="I60" s="189">
        <f>IF($C$9="rural",MULTIPLIERS!H3,IF($C$9="smaller metro",MULTIPLIERS!H18,IF($C$9="larger metro", MULTIPLIERS!H33,IF($C$9="province",MULTIPLIERS!H48,MULTIPLIERS!H63))))</f>
        <v>1.6600000000000001</v>
      </c>
      <c r="J60" s="189">
        <f>IF($C$9="rural",MULTIPLIERS!I3,IF($C$9="smaller metro",MULTIPLIERS!I18,IF($C$9="larger metro", MULTIPLIERS!I33,IF($C$9="province",MULTIPLIERS!I48,MULTIPLIERS!I63))))</f>
        <v>1.7445218142702652</v>
      </c>
      <c r="K60" s="189">
        <f>IF($C$9="rural",MULTIPLIERS!J3,IF($C$9="smaller metro",MULTIPLIERS!J18,IF($C$9="larger metro", MULTIPLIERS!J33,IF($C$9="province",MULTIPLIERS!J48,MULTIPLIERS!J63))))</f>
        <v>0.99999098479747772</v>
      </c>
      <c r="L60" s="114"/>
      <c r="M60" s="1"/>
      <c r="N60" s="1"/>
      <c r="O60" s="1"/>
      <c r="P60" s="1"/>
      <c r="Q60" s="1"/>
      <c r="R60" s="1"/>
      <c r="S60" s="1"/>
      <c r="T60" s="1"/>
      <c r="U60" s="1"/>
      <c r="V60" s="1"/>
      <c r="W60" s="1"/>
      <c r="X60" s="1"/>
      <c r="Y60" s="1"/>
      <c r="Z60" s="1"/>
      <c r="AA60" s="1"/>
    </row>
    <row r="61" spans="1:27" ht="12.75" customHeight="1" thickBot="1" x14ac:dyDescent="0.25">
      <c r="A61" s="1"/>
      <c r="B61" s="13" t="s">
        <v>85</v>
      </c>
      <c r="C61" s="189">
        <f>IF($C$9="rural",MULTIPLIERS!B4,IF($C$9="smaller metro",MULTIPLIERS!B19,IF($C$9="larger metro", MULTIPLIERS!B34,IF($C$9="province",MULTIPLIERS!B49,MULTIPLIERS!B64))))</f>
        <v>61.5931</v>
      </c>
      <c r="D61" s="189">
        <f>IF($C$9="rural",MULTIPLIERS!C4,IF($C$9="smaller metro",MULTIPLIERS!C19,IF($C$9="larger metro", MULTIPLIERS!C34,IF($C$9="province",MULTIPLIERS!C49,MULTIPLIERS!C64))))</f>
        <v>0.45</v>
      </c>
      <c r="E61" s="189">
        <f>IF($C$9="rural",MULTIPLIERS!D4,IF($C$9="smaller metro",MULTIPLIERS!D19,IF($C$9="larger metro", MULTIPLIERS!D34,IF($C$9="province",MULTIPLIERS!D49,MULTIPLIERS!D64))))</f>
        <v>0.57999999999999996</v>
      </c>
      <c r="F61" s="189">
        <f>IF($C$9="rural",MULTIPLIERS!E4,IF($C$9="smaller metro",MULTIPLIERS!E19,IF($C$9="larger metro", MULTIPLIERS!E34,IF($C$9="province",MULTIPLIERS!E49,MULTIPLIERS!E64))))</f>
        <v>4.5023575617897995</v>
      </c>
      <c r="G61" s="189">
        <f>IF($C$9="rural",MULTIPLIERS!F4,IF($C$9="smaller metro",MULTIPLIERS!F19,IF($C$9="larger metro", MULTIPLIERS!F34,IF($C$9="province",MULTIPLIERS!F49,MULTIPLIERS!F64))))</f>
        <v>145.69319999999999</v>
      </c>
      <c r="H61" s="189">
        <f>IF($C$9="rural",MULTIPLIERS!G4,IF($C$9="smaller metro",MULTIPLIERS!G19,IF($C$9="larger metro", MULTIPLIERS!G34,IF($C$9="province",MULTIPLIERS!G49,MULTIPLIERS!G64))))</f>
        <v>1.21</v>
      </c>
      <c r="I61" s="189">
        <f>IF($C$9="rural",MULTIPLIERS!H4,IF($C$9="smaller metro",MULTIPLIERS!H19,IF($C$9="larger metro", MULTIPLIERS!H34,IF($C$9="province",MULTIPLIERS!H49,MULTIPLIERS!H64))))</f>
        <v>1.7</v>
      </c>
      <c r="J61" s="189">
        <f>IF($C$9="rural",MULTIPLIERS!I4,IF($C$9="smaller metro",MULTIPLIERS!I19,IF($C$9="larger metro", MULTIPLIERS!I34,IF($C$9="province",MULTIPLIERS!I49,MULTIPLIERS!I64))))</f>
        <v>1.6240626631385127</v>
      </c>
      <c r="K61" s="189">
        <f>IF($C$9="rural",MULTIPLIERS!J4,IF($C$9="smaller metro",MULTIPLIERS!J19,IF($C$9="larger metro", MULTIPLIERS!J34,IF($C$9="province",MULTIPLIERS!J49,MULTIPLIERS!J64))))</f>
        <v>0.99999994039535522</v>
      </c>
      <c r="L61" s="134"/>
      <c r="M61" s="1"/>
      <c r="N61" s="1"/>
      <c r="O61" s="1"/>
      <c r="P61" s="1"/>
      <c r="Q61" s="1"/>
      <c r="R61" s="1"/>
      <c r="S61" s="1"/>
      <c r="T61" s="1"/>
      <c r="U61" s="1"/>
      <c r="V61" s="1"/>
      <c r="W61" s="1"/>
      <c r="X61" s="1"/>
      <c r="Y61" s="1"/>
      <c r="Z61" s="1"/>
      <c r="AA61" s="1"/>
    </row>
    <row r="62" spans="1:27" ht="12.75" customHeight="1" thickBot="1" x14ac:dyDescent="0.25">
      <c r="A62" s="1"/>
      <c r="B62" s="13" t="s">
        <v>86</v>
      </c>
      <c r="C62" s="189">
        <f>IF($C$9="rural",MULTIPLIERS!B5,IF($C$9="smaller metro",MULTIPLIERS!B20,IF($C$9="larger metro", MULTIPLIERS!B35,IF($C$9="province",MULTIPLIERS!B50,MULTIPLIERS!B65))))</f>
        <v>76.7774</v>
      </c>
      <c r="D62" s="189">
        <f>IF($C$9="rural",MULTIPLIERS!C5,IF($C$9="smaller metro",MULTIPLIERS!C20,IF($C$9="larger metro", MULTIPLIERS!C35,IF($C$9="province",MULTIPLIERS!C50,MULTIPLIERS!C65))))</f>
        <v>0.41</v>
      </c>
      <c r="E62" s="189">
        <f>IF($C$9="rural",MULTIPLIERS!D5,IF($C$9="smaller metro",MULTIPLIERS!D20,IF($C$9="larger metro", MULTIPLIERS!D35,IF($C$9="province",MULTIPLIERS!D50,MULTIPLIERS!D65))))</f>
        <v>0.5</v>
      </c>
      <c r="F62" s="189">
        <f>IF($C$9="rural",MULTIPLIERS!E5,IF($C$9="smaller metro",MULTIPLIERS!E20,IF($C$9="larger metro", MULTIPLIERS!E35,IF($C$9="province",MULTIPLIERS!E50,MULTIPLIERS!E65))))</f>
        <v>4.6303107675040573</v>
      </c>
      <c r="G62" s="189">
        <f>IF($C$9="rural",MULTIPLIERS!F5,IF($C$9="smaller metro",MULTIPLIERS!F20,IF($C$9="larger metro", MULTIPLIERS!F35,IF($C$9="province",MULTIPLIERS!F50,MULTIPLIERS!F65))))</f>
        <v>165.53739999999999</v>
      </c>
      <c r="H62" s="189">
        <f>IF($C$9="rural",MULTIPLIERS!G5,IF($C$9="smaller metro",MULTIPLIERS!G20,IF($C$9="larger metro", MULTIPLIERS!G35,IF($C$9="province",MULTIPLIERS!G50,MULTIPLIERS!G65))))</f>
        <v>1.2</v>
      </c>
      <c r="I62" s="189">
        <f>IF($C$9="rural",MULTIPLIERS!H5,IF($C$9="smaller metro",MULTIPLIERS!H20,IF($C$9="larger metro", MULTIPLIERS!H35,IF($C$9="province",MULTIPLIERS!H50,MULTIPLIERS!H65))))</f>
        <v>1.64</v>
      </c>
      <c r="J62" s="189">
        <f>IF($C$9="rural",MULTIPLIERS!I5,IF($C$9="smaller metro",MULTIPLIERS!I20,IF($C$9="larger metro", MULTIPLIERS!I35,IF($C$9="province",MULTIPLIERS!I50,MULTIPLIERS!I65))))</f>
        <v>1.7908186950581784</v>
      </c>
      <c r="K62" s="189">
        <f>IF($C$9="rural",MULTIPLIERS!J5,IF($C$9="smaller metro",MULTIPLIERS!J20,IF($C$9="larger metro", MULTIPLIERS!J35,IF($C$9="province",MULTIPLIERS!J50,MULTIPLIERS!J65))))</f>
        <v>0.99996399879455566</v>
      </c>
      <c r="L62" s="134"/>
      <c r="M62" s="1"/>
      <c r="N62" s="1"/>
      <c r="O62" s="1"/>
      <c r="P62" s="1"/>
      <c r="Q62" s="1"/>
      <c r="R62" s="1"/>
      <c r="S62" s="1"/>
      <c r="T62" s="1"/>
      <c r="U62" s="1"/>
      <c r="V62" s="1"/>
      <c r="W62" s="1"/>
      <c r="X62" s="1"/>
      <c r="Y62" s="1"/>
      <c r="Z62" s="1"/>
      <c r="AA62" s="1"/>
    </row>
    <row r="63" spans="1:27" ht="12.75" customHeight="1" thickBot="1" x14ac:dyDescent="0.25">
      <c r="A63" s="1"/>
      <c r="B63" s="13" t="s">
        <v>87</v>
      </c>
      <c r="C63" s="189">
        <f>IF($C$9="rural",MULTIPLIERS!B6,IF($C$9="smaller metro",MULTIPLIERS!B21,IF($C$9="larger metro", MULTIPLIERS!B36,IF($C$9="province",MULTIPLIERS!B51,MULTIPLIERS!B66))))</f>
        <v>94.307500000000005</v>
      </c>
      <c r="D63" s="189">
        <f>IF($C$9="rural",MULTIPLIERS!C6,IF($C$9="smaller metro",MULTIPLIERS!C21,IF($C$9="larger metro", MULTIPLIERS!C36,IF($C$9="province",MULTIPLIERS!C51,MULTIPLIERS!C66))))</f>
        <v>0.5</v>
      </c>
      <c r="E63" s="189">
        <f>IF($C$9="rural",MULTIPLIERS!D6,IF($C$9="smaller metro",MULTIPLIERS!D21,IF($C$9="larger metro", MULTIPLIERS!D36,IF($C$9="province",MULTIPLIERS!D51,MULTIPLIERS!D66))))</f>
        <v>0.56999999999999995</v>
      </c>
      <c r="F63" s="189">
        <f>IF($C$9="rural",MULTIPLIERS!E6,IF($C$9="smaller metro",MULTIPLIERS!E21,IF($C$9="larger metro", MULTIPLIERS!E36,IF($C$9="province",MULTIPLIERS!E51,MULTIPLIERS!E66))))</f>
        <v>4.7067133559843102</v>
      </c>
      <c r="G63" s="189">
        <f>IF($C$9="rural",MULTIPLIERS!F6,IF($C$9="smaller metro",MULTIPLIERS!F21,IF($C$9="larger metro", MULTIPLIERS!F36,IF($C$9="province",MULTIPLIERS!F51,MULTIPLIERS!F66))))</f>
        <v>178.85140000000001</v>
      </c>
      <c r="H63" s="189">
        <f>IF($C$9="rural",MULTIPLIERS!G6,IF($C$9="smaller metro",MULTIPLIERS!G21,IF($C$9="larger metro", MULTIPLIERS!G36,IF($C$9="province",MULTIPLIERS!G51,MULTIPLIERS!G66))))</f>
        <v>1.31</v>
      </c>
      <c r="I63" s="189">
        <f>IF($C$9="rural",MULTIPLIERS!H6,IF($C$9="smaller metro",MULTIPLIERS!H21,IF($C$9="larger metro", MULTIPLIERS!H36,IF($C$9="province",MULTIPLIERS!H51,MULTIPLIERS!H66))))</f>
        <v>1.78</v>
      </c>
      <c r="J63" s="189">
        <f>IF($C$9="rural",MULTIPLIERS!I6,IF($C$9="smaller metro",MULTIPLIERS!I21,IF($C$9="larger metro", MULTIPLIERS!I36,IF($C$9="province",MULTIPLIERS!I51,MULTIPLIERS!I66))))</f>
        <v>1.5925464033794896</v>
      </c>
      <c r="K63" s="189">
        <f>IF($C$9="rural",MULTIPLIERS!J6,IF($C$9="smaller metro",MULTIPLIERS!J21,IF($C$9="larger metro", MULTIPLIERS!J36,IF($C$9="province",MULTIPLIERS!J51,MULTIPLIERS!J66))))</f>
        <v>1</v>
      </c>
      <c r="L63" s="134"/>
      <c r="M63" s="1"/>
      <c r="N63" s="1"/>
      <c r="O63" s="1"/>
      <c r="P63" s="1"/>
      <c r="Q63" s="1"/>
      <c r="R63" s="1"/>
      <c r="S63" s="1"/>
      <c r="T63" s="1"/>
      <c r="U63" s="1"/>
      <c r="V63" s="1"/>
      <c r="W63" s="1"/>
      <c r="X63" s="1"/>
      <c r="Y63" s="1"/>
      <c r="Z63" s="1"/>
      <c r="AA63" s="1"/>
    </row>
    <row r="64" spans="1:27" ht="12.75" customHeight="1" thickBot="1" x14ac:dyDescent="0.25">
      <c r="A64" s="1"/>
      <c r="B64" s="13" t="s">
        <v>88</v>
      </c>
      <c r="C64" s="189">
        <f>IF($C$9="rural",MULTIPLIERS!B7,IF($C$9="smaller metro",MULTIPLIERS!B22,IF($C$9="larger metro", MULTIPLIERS!B37,IF($C$9="province",MULTIPLIERS!B52,MULTIPLIERS!B67))))</f>
        <v>40.163899999999998</v>
      </c>
      <c r="D64" s="189">
        <f>IF($C$9="rural",MULTIPLIERS!C7,IF($C$9="smaller metro",MULTIPLIERS!C22,IF($C$9="larger metro", MULTIPLIERS!C37,IF($C$9="province",MULTIPLIERS!C52,MULTIPLIERS!C67))))</f>
        <v>0.35</v>
      </c>
      <c r="E64" s="189">
        <f>IF($C$9="rural",MULTIPLIERS!D7,IF($C$9="smaller metro",MULTIPLIERS!D22,IF($C$9="larger metro", MULTIPLIERS!D37,IF($C$9="province",MULTIPLIERS!D52,MULTIPLIERS!D67))))</f>
        <v>0.45</v>
      </c>
      <c r="F64" s="189">
        <f>IF($C$9="rural",MULTIPLIERS!E7,IF($C$9="smaller metro",MULTIPLIERS!E22,IF($C$9="larger metro", MULTIPLIERS!E37,IF($C$9="province",MULTIPLIERS!E52,MULTIPLIERS!E67))))</f>
        <v>4.5773516919508754</v>
      </c>
      <c r="G64" s="189">
        <f>IF($C$9="rural",MULTIPLIERS!F7,IF($C$9="smaller metro",MULTIPLIERS!F22,IF($C$9="larger metro", MULTIPLIERS!F37,IF($C$9="province",MULTIPLIERS!F52,MULTIPLIERS!F67))))</f>
        <v>117.09979999999999</v>
      </c>
      <c r="H64" s="189">
        <f>IF($C$9="rural",MULTIPLIERS!G7,IF($C$9="smaller metro",MULTIPLIERS!G22,IF($C$9="larger metro", MULTIPLIERS!G37,IF($C$9="province",MULTIPLIERS!G52,MULTIPLIERS!G67))))</f>
        <v>1.1000000000000001</v>
      </c>
      <c r="I64" s="189">
        <f>IF($C$9="rural",MULTIPLIERS!H7,IF($C$9="smaller metro",MULTIPLIERS!H22,IF($C$9="larger metro", MULTIPLIERS!H37,IF($C$9="province",MULTIPLIERS!H52,MULTIPLIERS!H67))))</f>
        <v>1.52</v>
      </c>
      <c r="J64" s="189">
        <f>IF($C$9="rural",MULTIPLIERS!I7,IF($C$9="smaller metro",MULTIPLIERS!I22,IF($C$9="larger metro", MULTIPLIERS!I37,IF($C$9="province",MULTIPLIERS!I52,MULTIPLIERS!I67))))</f>
        <v>1.9706594955048802</v>
      </c>
      <c r="K64" s="189">
        <f>IF($C$9="rural",MULTIPLIERS!J7,IF($C$9="smaller metro",MULTIPLIERS!J22,IF($C$9="larger metro", MULTIPLIERS!J37,IF($C$9="province",MULTIPLIERS!J52,MULTIPLIERS!J67))))</f>
        <v>1</v>
      </c>
      <c r="L64" s="134"/>
      <c r="M64" s="1"/>
      <c r="N64" s="1"/>
      <c r="O64" s="1"/>
      <c r="P64" s="1"/>
      <c r="Q64" s="1"/>
      <c r="R64" s="1"/>
      <c r="S64" s="1"/>
      <c r="T64" s="1"/>
      <c r="U64" s="1"/>
      <c r="V64" s="1"/>
      <c r="W64" s="1"/>
      <c r="X64" s="1"/>
      <c r="Y64" s="1"/>
      <c r="Z64" s="1"/>
      <c r="AA64" s="1"/>
    </row>
    <row r="65" spans="1:27" ht="12.75" customHeight="1" thickBot="1" x14ac:dyDescent="0.25">
      <c r="A65" s="1"/>
      <c r="B65" s="13" t="s">
        <v>89</v>
      </c>
      <c r="C65" s="189">
        <f>IF($C$9="rural",MULTIPLIERS!B8,IF($C$9="smaller metro",MULTIPLIERS!B23,IF($C$9="larger metro", MULTIPLIERS!B38,IF($C$9="province",MULTIPLIERS!B53,MULTIPLIERS!B68))))</f>
        <v>55.596516666666666</v>
      </c>
      <c r="D65" s="189">
        <f>IF($C$9="rural",MULTIPLIERS!C8,IF($C$9="smaller metro",MULTIPLIERS!C23,IF($C$9="larger metro", MULTIPLIERS!C38,IF($C$9="province",MULTIPLIERS!C53,MULTIPLIERS!C68))))</f>
        <v>0.36166666666666664</v>
      </c>
      <c r="E65" s="189">
        <f>IF($C$9="rural",MULTIPLIERS!D8,IF($C$9="smaller metro",MULTIPLIERS!D23,IF($C$9="larger metro", MULTIPLIERS!D38,IF($C$9="province",MULTIPLIERS!D53,MULTIPLIERS!D68))))</f>
        <v>0.45666666666666672</v>
      </c>
      <c r="F65" s="189">
        <f>IF($C$9="rural",MULTIPLIERS!E8,IF($C$9="smaller metro",MULTIPLIERS!E23,IF($C$9="larger metro", MULTIPLIERS!E38,IF($C$9="province",MULTIPLIERS!E53,MULTIPLIERS!E68))))</f>
        <v>3.796744976944574</v>
      </c>
      <c r="G65" s="189">
        <f>IF($C$9="rural",MULTIPLIERS!F8,IF($C$9="smaller metro",MULTIPLIERS!F23,IF($C$9="larger metro", MULTIPLIERS!F38,IF($C$9="province",MULTIPLIERS!F53,MULTIPLIERS!F68))))</f>
        <v>124.27456666666669</v>
      </c>
      <c r="H65" s="189">
        <f>IF($C$9="rural",MULTIPLIERS!G8,IF($C$9="smaller metro",MULTIPLIERS!G23,IF($C$9="larger metro", MULTIPLIERS!G38,IF($C$9="province",MULTIPLIERS!G53,MULTIPLIERS!G68))))</f>
        <v>1.0033333333333334</v>
      </c>
      <c r="I65" s="189">
        <f>IF($C$9="rural",MULTIPLIERS!H8,IF($C$9="smaller metro",MULTIPLIERS!H23,IF($C$9="larger metro", MULTIPLIERS!H38,IF($C$9="province",MULTIPLIERS!H53,MULTIPLIERS!H68))))</f>
        <v>1.3916666666666668</v>
      </c>
      <c r="J65" s="189">
        <f>IF($C$9="rural",MULTIPLIERS!I8,IF($C$9="smaller metro",MULTIPLIERS!I23,IF($C$9="larger metro", MULTIPLIERS!I38,IF($C$9="province",MULTIPLIERS!I53,MULTIPLIERS!I68))))</f>
        <v>1.4172585755252518</v>
      </c>
      <c r="K65" s="189">
        <f>IF($C$9="rural",MULTIPLIERS!J8,IF($C$9="smaller metro",MULTIPLIERS!J23,IF($C$9="larger metro", MULTIPLIERS!J38,IF($C$9="province",MULTIPLIERS!J53,MULTIPLIERS!J68))))</f>
        <v>0.88351523876190186</v>
      </c>
      <c r="L65" s="134"/>
      <c r="M65" s="1"/>
      <c r="N65" s="1"/>
      <c r="O65" s="1"/>
      <c r="P65" s="1"/>
      <c r="Q65" s="1"/>
      <c r="R65" s="1"/>
      <c r="S65" s="1"/>
      <c r="T65" s="1"/>
      <c r="U65" s="1"/>
      <c r="V65" s="1"/>
      <c r="W65" s="1"/>
      <c r="X65" s="1"/>
      <c r="Y65" s="1"/>
      <c r="Z65" s="1"/>
      <c r="AA65" s="1"/>
    </row>
    <row r="66" spans="1:27" ht="12.75" customHeight="1" thickBot="1" x14ac:dyDescent="0.25">
      <c r="A66" s="1"/>
      <c r="B66" s="13" t="s">
        <v>90</v>
      </c>
      <c r="C66" s="189">
        <f>IF($C$9="rural",MULTIPLIERS!B9,IF($C$9="smaller metro",MULTIPLIERS!B24,IF($C$9="larger metro", MULTIPLIERS!B39,IF($C$9="province",MULTIPLIERS!B54,MULTIPLIERS!B69))))</f>
        <v>55.596516666666666</v>
      </c>
      <c r="D66" s="189">
        <f>IF($C$9="rural",MULTIPLIERS!C9,IF($C$9="smaller metro",MULTIPLIERS!C24,IF($C$9="larger metro", MULTIPLIERS!C39,IF($C$9="province",MULTIPLIERS!C54,MULTIPLIERS!C69))))</f>
        <v>0.36166666666666664</v>
      </c>
      <c r="E66" s="189">
        <f>IF($C$9="rural",MULTIPLIERS!D9,IF($C$9="smaller metro",MULTIPLIERS!D24,IF($C$9="larger metro", MULTIPLIERS!D39,IF($C$9="province",MULTIPLIERS!D54,MULTIPLIERS!D69))))</f>
        <v>0.45666666666666672</v>
      </c>
      <c r="F66" s="189">
        <f>IF($C$9="rural",MULTIPLIERS!E9,IF($C$9="smaller metro",MULTIPLIERS!E24,IF($C$9="larger metro", MULTIPLIERS!E39,IF($C$9="province",MULTIPLIERS!E54,MULTIPLIERS!E69))))</f>
        <v>3.796744976944574</v>
      </c>
      <c r="G66" s="189">
        <f>IF($C$9="rural",MULTIPLIERS!F9,IF($C$9="smaller metro",MULTIPLIERS!F24,IF($C$9="larger metro", MULTIPLIERS!F39,IF($C$9="province",MULTIPLIERS!F54,MULTIPLIERS!F69))))</f>
        <v>124.27456666666669</v>
      </c>
      <c r="H66" s="189">
        <f>IF($C$9="rural",MULTIPLIERS!G9,IF($C$9="smaller metro",MULTIPLIERS!G24,IF($C$9="larger metro", MULTIPLIERS!G39,IF($C$9="province",MULTIPLIERS!G54,MULTIPLIERS!G69))))</f>
        <v>1.0033333333333334</v>
      </c>
      <c r="I66" s="189">
        <f>IF($C$9="rural",MULTIPLIERS!H9,IF($C$9="smaller metro",MULTIPLIERS!H24,IF($C$9="larger metro", MULTIPLIERS!H39,IF($C$9="province",MULTIPLIERS!H54,MULTIPLIERS!H69))))</f>
        <v>1.3916666666666668</v>
      </c>
      <c r="J66" s="189">
        <f>IF($C$9="rural",MULTIPLIERS!I9,IF($C$9="smaller metro",MULTIPLIERS!I24,IF($C$9="larger metro", MULTIPLIERS!I39,IF($C$9="province",MULTIPLIERS!I54,MULTIPLIERS!I69))))</f>
        <v>1.4172585755252518</v>
      </c>
      <c r="K66" s="189">
        <f>IF($C$9="rural",MULTIPLIERS!J9,IF($C$9="smaller metro",MULTIPLIERS!J24,IF($C$9="larger metro", MULTIPLIERS!J39,IF($C$9="province",MULTIPLIERS!J54,MULTIPLIERS!J69))))</f>
        <v>0.8</v>
      </c>
      <c r="L66" s="134"/>
      <c r="M66" s="135"/>
      <c r="N66" s="2"/>
      <c r="O66" s="1"/>
      <c r="P66" s="1"/>
      <c r="Q66" s="1"/>
      <c r="R66" s="1"/>
      <c r="S66" s="1"/>
      <c r="T66" s="1"/>
      <c r="U66" s="1"/>
      <c r="V66" s="1"/>
      <c r="W66" s="1"/>
      <c r="X66" s="1"/>
      <c r="Y66" s="1"/>
      <c r="Z66" s="1"/>
      <c r="AA66" s="1"/>
    </row>
    <row r="67" spans="1:27" ht="12.75" customHeight="1" thickBot="1" x14ac:dyDescent="0.25">
      <c r="A67" s="1"/>
      <c r="B67" s="13" t="s">
        <v>91</v>
      </c>
      <c r="C67" s="189">
        <f>IF($C$9="rural",MULTIPLIERS!B10,IF($C$9="smaller metro",MULTIPLIERS!B25,IF($C$9="larger metro", MULTIPLIERS!B40,IF($C$9="province",MULTIPLIERS!B55,MULTIPLIERS!B70))))</f>
        <v>0.36586774468421934</v>
      </c>
      <c r="D67" s="189">
        <f>IF($C$9="rural",MULTIPLIERS!C10,IF($C$9="smaller metro",MULTIPLIERS!C25,IF($C$9="larger metro", MULTIPLIERS!C40,IF($C$9="province",MULTIPLIERS!C55,MULTIPLIERS!C70))))</f>
        <v>3.9551660418510437E-2</v>
      </c>
      <c r="E67" s="189">
        <f>IF($C$9="rural",MULTIPLIERS!D10,IF($C$9="smaller metro",MULTIPLIERS!D25,IF($C$9="larger metro", MULTIPLIERS!D40,IF($C$9="province",MULTIPLIERS!D55,MULTIPLIERS!D70))))</f>
        <v>6.0386694967746735E-2</v>
      </c>
      <c r="F67" s="189">
        <f>IF($C$9="rural",MULTIPLIERS!E10,IF($C$9="smaller metro",MULTIPLIERS!E25,IF($C$9="larger metro", MULTIPLIERS!E40,IF($C$9="province",MULTIPLIERS!E55,MULTIPLIERS!E70))))</f>
        <v>2.0898045003414154</v>
      </c>
      <c r="G67" s="189">
        <f>IF($C$9="rural",MULTIPLIERS!F10,IF($C$9="smaller metro",MULTIPLIERS!F25,IF($C$9="larger metro", MULTIPLIERS!F40,IF($C$9="province",MULTIPLIERS!F55,MULTIPLIERS!F70))))</f>
        <v>13.299867691993713</v>
      </c>
      <c r="H67" s="189">
        <f>IF($C$9="rural",MULTIPLIERS!G10,IF($C$9="smaller metro",MULTIPLIERS!G25,IF($C$9="larger metro", MULTIPLIERS!G40,IF($C$9="province",MULTIPLIERS!G55,MULTIPLIERS!G70))))</f>
        <v>0.32001839578151703</v>
      </c>
      <c r="I67" s="189">
        <f>IF($C$9="rural",MULTIPLIERS!H10,IF($C$9="smaller metro",MULTIPLIERS!H25,IF($C$9="larger metro", MULTIPLIERS!H40,IF($C$9="province",MULTIPLIERS!H55,MULTIPLIERS!H70))))</f>
        <v>0.64168427512049675</v>
      </c>
      <c r="J67" s="189">
        <f>IF($C$9="rural",MULTIPLIERS!I10,IF($C$9="smaller metro",MULTIPLIERS!I25,IF($C$9="larger metro", MULTIPLIERS!I40,IF($C$9="province",MULTIPLIERS!I55,MULTIPLIERS!I70))))</f>
        <v>1.7313501834869385</v>
      </c>
      <c r="K67" s="189">
        <f>IF($C$9="rural",MULTIPLIERS!J10,IF($C$9="smaller metro",MULTIPLIERS!J25,IF($C$9="larger metro", MULTIPLIERS!J40,IF($C$9="province",MULTIPLIERS!J55,MULTIPLIERS!J70))))</f>
        <v>0.21</v>
      </c>
      <c r="L67" s="134"/>
      <c r="M67" s="2"/>
      <c r="N67" s="1"/>
      <c r="O67" s="1"/>
      <c r="P67" s="1"/>
      <c r="Q67" s="1"/>
      <c r="R67" s="1"/>
      <c r="S67" s="1"/>
      <c r="T67" s="1"/>
      <c r="U67" s="1"/>
      <c r="V67" s="1"/>
      <c r="W67" s="1"/>
      <c r="X67" s="1"/>
      <c r="Y67" s="1"/>
      <c r="Z67" s="1"/>
      <c r="AA67" s="1"/>
    </row>
    <row r="68" spans="1:27" ht="12.75" customHeight="1" thickBot="1" x14ac:dyDescent="0.25">
      <c r="A68" s="1"/>
      <c r="B68" s="13" t="s">
        <v>92</v>
      </c>
      <c r="C68" s="189">
        <f>IF($C$9="rural",MULTIPLIERS!B11,IF($C$9="smaller metro",MULTIPLIERS!B26,IF($C$9="larger metro", MULTIPLIERS!B41,IF($C$9="province",MULTIPLIERS!B56,MULTIPLIERS!B71))))</f>
        <v>55.596516666666666</v>
      </c>
      <c r="D68" s="189">
        <f>IF($C$9="rural",MULTIPLIERS!C11,IF($C$9="smaller metro",MULTIPLIERS!C26,IF($C$9="larger metro", MULTIPLIERS!C41,IF($C$9="province",MULTIPLIERS!C56,MULTIPLIERS!C71))))</f>
        <v>0.36166666666666664</v>
      </c>
      <c r="E68" s="189">
        <f>IF($C$9="rural",MULTIPLIERS!D11,IF($C$9="smaller metro",MULTIPLIERS!D26,IF($C$9="larger metro", MULTIPLIERS!D41,IF($C$9="province",MULTIPLIERS!D56,MULTIPLIERS!D71))))</f>
        <v>0.45666666666666672</v>
      </c>
      <c r="F68" s="189">
        <f>IF($C$9="rural",MULTIPLIERS!E11,IF($C$9="smaller metro",MULTIPLIERS!E26,IF($C$9="larger metro", MULTIPLIERS!E41,IF($C$9="province",MULTIPLIERS!E56,MULTIPLIERS!E71))))</f>
        <v>3.796744976944574</v>
      </c>
      <c r="G68" s="189">
        <f>IF($C$9="rural",MULTIPLIERS!F11,IF($C$9="smaller metro",MULTIPLIERS!F26,IF($C$9="larger metro", MULTIPLIERS!F41,IF($C$9="province",MULTIPLIERS!F56,MULTIPLIERS!F71))))</f>
        <v>124.27456666666669</v>
      </c>
      <c r="H68" s="189">
        <f>IF($C$9="rural",MULTIPLIERS!G11,IF($C$9="smaller metro",MULTIPLIERS!G26,IF($C$9="larger metro", MULTIPLIERS!G41,IF($C$9="province",MULTIPLIERS!G56,MULTIPLIERS!G71))))</f>
        <v>1.0033333333333334</v>
      </c>
      <c r="I68" s="189">
        <f>IF($C$9="rural",MULTIPLIERS!H11,IF($C$9="smaller metro",MULTIPLIERS!H26,IF($C$9="larger metro", MULTIPLIERS!H41,IF($C$9="province",MULTIPLIERS!H56,MULTIPLIERS!H71))))</f>
        <v>1.3916666666666668</v>
      </c>
      <c r="J68" s="189">
        <f>IF($C$9="rural",MULTIPLIERS!I11,IF($C$9="smaller metro",MULTIPLIERS!I26,IF($C$9="larger metro", MULTIPLIERS!I41,IF($C$9="province",MULTIPLIERS!I56,MULTIPLIERS!I71))))</f>
        <v>1.4172585755252518</v>
      </c>
      <c r="K68" s="189">
        <f>IF($C$9="rural",MULTIPLIERS!J11,IF($C$9="smaller metro",MULTIPLIERS!J26,IF($C$9="larger metro", MULTIPLIERS!J41,IF($C$9="province",MULTIPLIERS!J56,MULTIPLIERS!J71))))</f>
        <v>0.62458717823028564</v>
      </c>
      <c r="L68" s="134"/>
      <c r="M68" s="1"/>
      <c r="N68" s="1"/>
      <c r="O68" s="1"/>
      <c r="P68" s="1"/>
      <c r="Q68" s="1"/>
      <c r="R68" s="1"/>
      <c r="S68" s="1"/>
      <c r="T68" s="1"/>
      <c r="U68" s="1"/>
      <c r="V68" s="1"/>
      <c r="W68" s="1"/>
      <c r="X68" s="1"/>
      <c r="Y68" s="1"/>
      <c r="Z68" s="1"/>
      <c r="AA68" s="1"/>
    </row>
    <row r="69" spans="1:27" ht="12.75" customHeight="1" thickBot="1" x14ac:dyDescent="0.25">
      <c r="A69" s="1"/>
      <c r="B69" s="13" t="s">
        <v>93</v>
      </c>
      <c r="C69" s="189">
        <f>IF($C$9="rural",MULTIPLIERS!B12,IF($C$9="smaller metro",MULTIPLIERS!B27,IF($C$9="larger metro", MULTIPLIERS!B42,IF($C$9="province",MULTIPLIERS!B57,MULTIPLIERS!B72))))</f>
        <v>55.596516666666666</v>
      </c>
      <c r="D69" s="189">
        <f>IF($C$9="rural",MULTIPLIERS!C12,IF($C$9="smaller metro",MULTIPLIERS!C27,IF($C$9="larger metro", MULTIPLIERS!C42,IF($C$9="province",MULTIPLIERS!C57,MULTIPLIERS!C72))))</f>
        <v>0.36166666666666664</v>
      </c>
      <c r="E69" s="189">
        <f>IF($C$9="rural",MULTIPLIERS!D12,IF($C$9="smaller metro",MULTIPLIERS!D27,IF($C$9="larger metro", MULTIPLIERS!D42,IF($C$9="province",MULTIPLIERS!D57,MULTIPLIERS!D72))))</f>
        <v>0.45666666666666672</v>
      </c>
      <c r="F69" s="189">
        <f>IF($C$9="rural",MULTIPLIERS!E12,IF($C$9="smaller metro",MULTIPLIERS!E27,IF($C$9="larger metro", MULTIPLIERS!E42,IF($C$9="province",MULTIPLIERS!E57,MULTIPLIERS!E72))))</f>
        <v>3.796744976944574</v>
      </c>
      <c r="G69" s="189">
        <f>IF($C$9="rural",MULTIPLIERS!F12,IF($C$9="smaller metro",MULTIPLIERS!F27,IF($C$9="larger metro", MULTIPLIERS!F42,IF($C$9="province",MULTIPLIERS!F57,MULTIPLIERS!F72))))</f>
        <v>124.27456666666669</v>
      </c>
      <c r="H69" s="189">
        <f>IF($C$9="rural",MULTIPLIERS!G12,IF($C$9="smaller metro",MULTIPLIERS!G27,IF($C$9="larger metro", MULTIPLIERS!G42,IF($C$9="province",MULTIPLIERS!G57,MULTIPLIERS!G72))))</f>
        <v>1.0033333333333334</v>
      </c>
      <c r="I69" s="189">
        <f>IF($C$9="rural",MULTIPLIERS!H12,IF($C$9="smaller metro",MULTIPLIERS!H27,IF($C$9="larger metro", MULTIPLIERS!H42,IF($C$9="province",MULTIPLIERS!H57,MULTIPLIERS!H72))))</f>
        <v>1.3916666666666668</v>
      </c>
      <c r="J69" s="189">
        <f>IF($C$9="rural",MULTIPLIERS!I12,IF($C$9="smaller metro",MULTIPLIERS!I27,IF($C$9="larger metro", MULTIPLIERS!I42,IF($C$9="province",MULTIPLIERS!I57,MULTIPLIERS!I72))))</f>
        <v>1.4172585755252518</v>
      </c>
      <c r="K69" s="189">
        <f>IF($C$9="rural",MULTIPLIERS!J12,IF($C$9="smaller metro",MULTIPLIERS!J27,IF($C$9="larger metro", MULTIPLIERS!J42,IF($C$9="province",MULTIPLIERS!J57,MULTIPLIERS!J72))))</f>
        <v>0.61480748653411865</v>
      </c>
      <c r="L69" s="134"/>
      <c r="M69" s="1"/>
      <c r="N69" s="1"/>
      <c r="O69" s="1"/>
      <c r="P69" s="1"/>
      <c r="Q69" s="1"/>
      <c r="R69" s="1"/>
      <c r="S69" s="1"/>
      <c r="T69" s="1"/>
      <c r="U69" s="1"/>
      <c r="V69" s="1"/>
      <c r="W69" s="1"/>
      <c r="X69" s="1"/>
      <c r="Y69" s="1"/>
      <c r="Z69" s="1"/>
      <c r="AA69" s="1"/>
    </row>
    <row r="70" spans="1:27" ht="12.75" customHeight="1" thickBot="1" x14ac:dyDescent="0.25">
      <c r="A70" s="1"/>
      <c r="B70" s="13" t="s">
        <v>43</v>
      </c>
      <c r="C70" s="189">
        <f>IF($C$9="rural",MULTIPLIERS!B13,IF($C$9="smaller metro",MULTIPLIERS!B28,IF($C$9="larger metro", MULTIPLIERS!B43,IF($C$9="province",MULTIPLIERS!B58,MULTIPLIERS!B73))))</f>
        <v>60.737200000000001</v>
      </c>
      <c r="D70" s="189">
        <f>IF($C$9="rural",MULTIPLIERS!C13,IF($C$9="smaller metro",MULTIPLIERS!C28,IF($C$9="larger metro", MULTIPLIERS!C43,IF($C$9="province",MULTIPLIERS!C58,MULTIPLIERS!C73))))</f>
        <v>0.46</v>
      </c>
      <c r="E70" s="189">
        <f>IF($C$9="rural",MULTIPLIERS!D13,IF($C$9="smaller metro",MULTIPLIERS!D28,IF($C$9="larger metro", MULTIPLIERS!D43,IF($C$9="province",MULTIPLIERS!D58,MULTIPLIERS!D73))))</f>
        <v>0.64</v>
      </c>
      <c r="F70" s="189">
        <f>IF($C$9="rural",MULTIPLIERS!E13,IF($C$9="smaller metro",MULTIPLIERS!E28,IF($C$9="larger metro", MULTIPLIERS!E43,IF($C$9="province",MULTIPLIERS!E58,MULTIPLIERS!E73))))</f>
        <v>4.3637364844384026</v>
      </c>
      <c r="G70" s="189">
        <f>IF($C$9="rural",MULTIPLIERS!F13,IF($C$9="smaller metro",MULTIPLIERS!F28,IF($C$9="larger metro", MULTIPLIERS!F43,IF($C$9="province",MULTIPLIERS!F58,MULTIPLIERS!F73))))</f>
        <v>138.46559999999999</v>
      </c>
      <c r="H70" s="189">
        <f>IF($C$9="rural",MULTIPLIERS!G13,IF($C$9="smaller metro",MULTIPLIERS!G28,IF($C$9="larger metro", MULTIPLIERS!G43,IF($C$9="province",MULTIPLIERS!G58,MULTIPLIERS!G73))))</f>
        <v>1.2</v>
      </c>
      <c r="I70" s="189">
        <f>IF($C$9="rural",MULTIPLIERS!H13,IF($C$9="smaller metro",MULTIPLIERS!H28,IF($C$9="larger metro", MULTIPLIERS!H43,IF($C$9="province",MULTIPLIERS!H58,MULTIPLIERS!H73))))</f>
        <v>1.71</v>
      </c>
      <c r="J70" s="189">
        <f>IF($C$9="rural",MULTIPLIERS!I13,IF($C$9="smaller metro",MULTIPLIERS!I28,IF($C$9="larger metro", MULTIPLIERS!I43,IF($C$9="province",MULTIPLIERS!I58,MULTIPLIERS!I73))))</f>
        <v>1.5254641960704505</v>
      </c>
      <c r="K70" s="189">
        <f>IF($C$9="rural",MULTIPLIERS!J13,IF($C$9="smaller metro",MULTIPLIERS!J28,IF($C$9="larger metro", MULTIPLIERS!J43,IF($C$9="province",MULTIPLIERS!J58,MULTIPLIERS!J73))))</f>
        <v>1</v>
      </c>
      <c r="L70" s="134"/>
      <c r="M70" s="1"/>
      <c r="N70" s="1"/>
      <c r="O70" s="1"/>
      <c r="P70" s="1"/>
      <c r="Q70" s="1"/>
      <c r="R70" s="1"/>
      <c r="S70" s="1"/>
      <c r="T70" s="1"/>
      <c r="U70" s="1"/>
      <c r="V70" s="1"/>
      <c r="W70" s="1"/>
      <c r="X70" s="1"/>
      <c r="Y70" s="1"/>
      <c r="Z70" s="1"/>
      <c r="AA70" s="1"/>
    </row>
    <row r="71" spans="1:27" ht="12" customHeight="1" x14ac:dyDescent="0.2">
      <c r="A71" s="1"/>
      <c r="B71" s="13" t="s">
        <v>94</v>
      </c>
      <c r="C71" s="189">
        <f>IF($C$9="rural",MULTIPLIERS!B14,IF($C$9="smaller metro",MULTIPLIERS!B29,IF($C$9="larger metro", MULTIPLIERS!B44,IF($C$9="province",MULTIPLIERS!B59,MULTIPLIERS!B74))))</f>
        <v>60.737200000000001</v>
      </c>
      <c r="D71" s="189">
        <f>IF($C$9="rural",MULTIPLIERS!C14,IF($C$9="smaller metro",MULTIPLIERS!C29,IF($C$9="larger metro", MULTIPLIERS!C44,IF($C$9="province",MULTIPLIERS!C59,MULTIPLIERS!C74))))</f>
        <v>0.46</v>
      </c>
      <c r="E71" s="189">
        <f>IF($C$9="rural",MULTIPLIERS!D14,IF($C$9="smaller metro",MULTIPLIERS!D29,IF($C$9="larger metro", MULTIPLIERS!D44,IF($C$9="province",MULTIPLIERS!D59,MULTIPLIERS!D74))))</f>
        <v>0.64</v>
      </c>
      <c r="F71" s="189">
        <f>IF($C$9="rural",MULTIPLIERS!E14,IF($C$9="smaller metro",MULTIPLIERS!E29,IF($C$9="larger metro", MULTIPLIERS!E44,IF($C$9="province",MULTIPLIERS!E59,MULTIPLIERS!E74))))</f>
        <v>4.3637364844384026</v>
      </c>
      <c r="G71" s="189">
        <f>IF($C$9="rural",MULTIPLIERS!F14,IF($C$9="smaller metro",MULTIPLIERS!F29,IF($C$9="larger metro", MULTIPLIERS!F44,IF($C$9="province",MULTIPLIERS!F59,MULTIPLIERS!F74))))</f>
        <v>138.46559999999999</v>
      </c>
      <c r="H71" s="189">
        <f>IF($C$9="rural",MULTIPLIERS!G14,IF($C$9="smaller metro",MULTIPLIERS!G29,IF($C$9="larger metro", MULTIPLIERS!G44,IF($C$9="province",MULTIPLIERS!G59,MULTIPLIERS!G74))))</f>
        <v>1.2</v>
      </c>
      <c r="I71" s="189">
        <f>IF($C$9="rural",MULTIPLIERS!H14,IF($C$9="smaller metro",MULTIPLIERS!H29,IF($C$9="larger metro", MULTIPLIERS!H44,IF($C$9="province",MULTIPLIERS!H59,MULTIPLIERS!H74))))</f>
        <v>1.71</v>
      </c>
      <c r="J71" s="189">
        <f>IF($C$9="rural",MULTIPLIERS!I14,IF($C$9="smaller metro",MULTIPLIERS!I29,IF($C$9="larger metro", MULTIPLIERS!I44,IF($C$9="province",MULTIPLIERS!I59,MULTIPLIERS!I74))))</f>
        <v>1.5254641960704505</v>
      </c>
      <c r="K71" s="189">
        <f>IF($C$9="rural",MULTIPLIERS!J14,IF($C$9="smaller metro",MULTIPLIERS!J29,IF($C$9="larger metro", MULTIPLIERS!J44,IF($C$9="province",MULTIPLIERS!J59,MULTIPLIERS!J74))))</f>
        <v>1</v>
      </c>
      <c r="L71" s="134"/>
      <c r="M71" s="1"/>
      <c r="N71" s="1"/>
      <c r="O71" s="1"/>
      <c r="P71" s="1"/>
      <c r="Q71" s="1"/>
      <c r="R71" s="1"/>
      <c r="S71" s="1"/>
      <c r="T71" s="1"/>
      <c r="U71" s="1"/>
      <c r="V71" s="1"/>
      <c r="W71" s="1"/>
      <c r="X71" s="1"/>
      <c r="Y71" s="1"/>
      <c r="Z71" s="1"/>
      <c r="AA71" s="1"/>
    </row>
    <row r="72" spans="1:27" ht="12" customHeight="1" x14ac:dyDescent="0.2">
      <c r="A72" s="1"/>
      <c r="B72" s="19" t="s">
        <v>95</v>
      </c>
      <c r="C72" s="1"/>
      <c r="D72" s="1"/>
      <c r="E72" s="1"/>
      <c r="F72" s="1"/>
      <c r="G72" s="1"/>
      <c r="H72" s="1"/>
      <c r="I72" s="1"/>
      <c r="J72" s="1"/>
      <c r="K72" s="1"/>
      <c r="L72" s="1"/>
      <c r="M72" s="1"/>
      <c r="N72" s="1"/>
      <c r="O72" s="1"/>
      <c r="P72" s="1"/>
      <c r="Q72" s="1"/>
      <c r="R72" s="1"/>
      <c r="S72" s="1"/>
      <c r="T72" s="1"/>
      <c r="U72" s="1"/>
      <c r="V72" s="1"/>
      <c r="W72" s="1"/>
      <c r="X72" s="1"/>
      <c r="Y72" s="1"/>
      <c r="Z72" s="1"/>
      <c r="AA72" s="1"/>
    </row>
    <row r="73" spans="1:27" ht="12.75" customHeight="1" x14ac:dyDescent="0.2">
      <c r="A73" s="1"/>
      <c r="B73" s="1"/>
      <c r="C73" s="1"/>
      <c r="D73" s="2"/>
      <c r="E73" s="2"/>
      <c r="F73" s="1"/>
      <c r="G73" s="1"/>
      <c r="H73" s="1"/>
      <c r="I73" s="1"/>
      <c r="J73" s="2"/>
      <c r="K73" s="2"/>
      <c r="L73" s="1"/>
      <c r="M73" s="1"/>
      <c r="N73" s="1"/>
      <c r="O73" s="1"/>
      <c r="P73" s="1"/>
      <c r="Q73" s="1"/>
      <c r="R73" s="1"/>
      <c r="S73" s="1"/>
      <c r="T73" s="1"/>
      <c r="U73" s="1"/>
      <c r="V73" s="1"/>
      <c r="W73" s="1"/>
      <c r="X73" s="1"/>
      <c r="Y73" s="1"/>
      <c r="Z73" s="1"/>
      <c r="AA73" s="1"/>
    </row>
    <row r="74" spans="1:27" ht="13.5" customHeight="1" x14ac:dyDescent="0.2">
      <c r="A74" s="254" t="s">
        <v>187</v>
      </c>
      <c r="B74" s="2"/>
      <c r="C74" s="1"/>
      <c r="D74" s="136"/>
      <c r="E74" s="136"/>
      <c r="F74" s="1"/>
      <c r="G74" s="1"/>
      <c r="H74" s="1"/>
      <c r="I74" s="1"/>
      <c r="J74" s="125"/>
      <c r="K74" s="2"/>
      <c r="L74" s="1"/>
      <c r="M74" s="1"/>
      <c r="N74" s="1"/>
      <c r="O74" s="1"/>
      <c r="P74" s="1"/>
      <c r="Q74" s="1"/>
      <c r="R74" s="1"/>
      <c r="S74" s="1"/>
      <c r="T74" s="1"/>
      <c r="U74" s="1"/>
      <c r="V74" s="1"/>
      <c r="W74" s="1"/>
      <c r="X74" s="1"/>
      <c r="Y74" s="1"/>
      <c r="Z74" s="1"/>
      <c r="AA74" s="1"/>
    </row>
    <row r="75" spans="1:27" ht="21" customHeight="1" x14ac:dyDescent="0.2">
      <c r="A75" s="1"/>
      <c r="B75" s="137" t="str">
        <f>"Computation of Direct Effects (" &amp;L8&amp; " 000's)"</f>
        <v>Computation of Direct Effects ($ 000's)</v>
      </c>
      <c r="C75" s="270" t="str">
        <f>" Spending, sales, income and value added in (" &amp;L8&amp; " 000's)"</f>
        <v xml:space="preserve"> Spending, sales, income and value added in ($ 000's)</v>
      </c>
      <c r="D75" s="271"/>
      <c r="E75" s="271"/>
      <c r="F75" s="271"/>
      <c r="G75" s="271"/>
      <c r="H75" s="271"/>
      <c r="I75" s="271"/>
      <c r="J75" s="271"/>
      <c r="K75" s="271"/>
      <c r="L75" s="272"/>
      <c r="M75" s="1"/>
      <c r="N75" s="1"/>
      <c r="O75" s="1"/>
      <c r="P75" s="1"/>
      <c r="Q75" s="1"/>
      <c r="R75" s="1"/>
      <c r="S75" s="1"/>
      <c r="T75" s="1"/>
      <c r="U75" s="1"/>
      <c r="V75" s="1"/>
      <c r="W75" s="1"/>
      <c r="X75" s="1"/>
      <c r="Y75" s="1"/>
      <c r="Z75" s="1"/>
      <c r="AA75" s="1"/>
    </row>
    <row r="76" spans="1:27" ht="39.75" customHeight="1" x14ac:dyDescent="0.2">
      <c r="A76" s="1"/>
      <c r="B76" s="138"/>
      <c r="C76" s="139" t="s">
        <v>96</v>
      </c>
      <c r="D76" s="140" t="s">
        <v>97</v>
      </c>
      <c r="E76" s="140" t="s">
        <v>98</v>
      </c>
      <c r="F76" s="140" t="s">
        <v>99</v>
      </c>
      <c r="G76" s="141" t="s">
        <v>100</v>
      </c>
      <c r="H76" s="141" t="s">
        <v>101</v>
      </c>
      <c r="I76" s="139" t="s">
        <v>102</v>
      </c>
      <c r="J76" s="141" t="s">
        <v>103</v>
      </c>
      <c r="K76" s="141" t="s">
        <v>104</v>
      </c>
      <c r="L76" s="142" t="s">
        <v>105</v>
      </c>
      <c r="M76" s="1"/>
      <c r="N76" s="1"/>
      <c r="O76" s="1"/>
      <c r="P76" s="1"/>
      <c r="Q76" s="1"/>
      <c r="R76" s="1"/>
      <c r="S76" s="1"/>
      <c r="T76" s="1"/>
      <c r="U76" s="1"/>
      <c r="V76" s="1"/>
      <c r="W76" s="1"/>
      <c r="X76" s="1"/>
      <c r="Y76" s="1"/>
      <c r="Z76" s="1"/>
      <c r="AA76" s="1"/>
    </row>
    <row r="77" spans="1:27" ht="12.75" customHeight="1" thickBot="1" x14ac:dyDescent="0.25">
      <c r="A77" s="1"/>
      <c r="B77" s="22" t="str">
        <f t="shared" ref="B77:B90" si="25">B19</f>
        <v>All inclusive packages</v>
      </c>
      <c r="C77" s="25">
        <f t="shared" ref="C77:C90" si="26">O39</f>
        <v>0</v>
      </c>
      <c r="D77" s="143"/>
      <c r="E77" s="143"/>
      <c r="F77" s="231">
        <f>K60</f>
        <v>0.99999098479747772</v>
      </c>
      <c r="G77" s="25">
        <f t="shared" ref="G77:G86" si="27">C77*D77</f>
        <v>0</v>
      </c>
      <c r="H77" s="25">
        <f t="shared" ref="H77:H86" si="28">E77*C77</f>
        <v>0</v>
      </c>
      <c r="I77" s="25">
        <f t="shared" ref="I77:I80" si="29">C77*F77</f>
        <v>0</v>
      </c>
      <c r="J77" s="25">
        <f>($I77*C60)/1000</f>
        <v>0</v>
      </c>
      <c r="K77" s="25">
        <f>$I77*D60</f>
        <v>0</v>
      </c>
      <c r="L77" s="144">
        <f>$I77*E60</f>
        <v>0</v>
      </c>
      <c r="M77" s="1"/>
      <c r="N77" s="1"/>
      <c r="O77" s="1"/>
      <c r="P77" s="1"/>
      <c r="Q77" s="1"/>
      <c r="R77" s="1"/>
      <c r="S77" s="1"/>
      <c r="T77" s="1"/>
      <c r="U77" s="1"/>
      <c r="V77" s="1"/>
      <c r="W77" s="1"/>
      <c r="X77" s="1"/>
      <c r="Y77" s="1"/>
      <c r="Z77" s="1"/>
      <c r="AA77" s="1"/>
    </row>
    <row r="78" spans="1:27" ht="12.75" customHeight="1" thickBot="1" x14ac:dyDescent="0.25">
      <c r="A78" s="1"/>
      <c r="B78" s="13" t="str">
        <f t="shared" si="25"/>
        <v>Accomodation: Hotel, lodges, B&amp;B, bushcamps,...</v>
      </c>
      <c r="C78" s="57">
        <f t="shared" si="26"/>
        <v>0</v>
      </c>
      <c r="D78" s="145"/>
      <c r="E78" s="145"/>
      <c r="F78" s="231">
        <f t="shared" ref="F78" si="30">K61</f>
        <v>0.99999994039535522</v>
      </c>
      <c r="G78" s="57">
        <f t="shared" si="27"/>
        <v>0</v>
      </c>
      <c r="H78" s="57">
        <f t="shared" si="28"/>
        <v>0</v>
      </c>
      <c r="I78" s="57">
        <f t="shared" si="29"/>
        <v>0</v>
      </c>
      <c r="J78" s="57">
        <f>($I78*C61)/1000</f>
        <v>0</v>
      </c>
      <c r="K78" s="57">
        <f>$I78*D61</f>
        <v>0</v>
      </c>
      <c r="L78" s="59">
        <f>$I78*E61</f>
        <v>0</v>
      </c>
      <c r="M78" s="1"/>
      <c r="N78" s="1"/>
      <c r="O78" s="1"/>
      <c r="P78" s="1"/>
      <c r="Q78" s="1"/>
      <c r="R78" s="1"/>
      <c r="S78" s="1"/>
      <c r="T78" s="1"/>
      <c r="U78" s="1"/>
      <c r="V78" s="1"/>
      <c r="W78" s="1"/>
      <c r="X78" s="1"/>
      <c r="Y78" s="1"/>
      <c r="Z78" s="1"/>
      <c r="AA78" s="1"/>
    </row>
    <row r="79" spans="1:27" ht="12.75" customHeight="1" thickBot="1" x14ac:dyDescent="0.25">
      <c r="A79" s="1"/>
      <c r="B79" s="13" t="str">
        <f t="shared" si="25"/>
        <v xml:space="preserve">Camping fees </v>
      </c>
      <c r="C79" s="57">
        <f t="shared" si="26"/>
        <v>0</v>
      </c>
      <c r="D79" s="145"/>
      <c r="E79" s="145"/>
      <c r="F79" s="231">
        <f>K61</f>
        <v>0.99999994039535522</v>
      </c>
      <c r="G79" s="57">
        <f t="shared" si="27"/>
        <v>0</v>
      </c>
      <c r="H79" s="57">
        <f t="shared" si="28"/>
        <v>0</v>
      </c>
      <c r="I79" s="57">
        <f t="shared" si="29"/>
        <v>0</v>
      </c>
      <c r="J79" s="57">
        <f>($I79*C61)/1000</f>
        <v>0</v>
      </c>
      <c r="K79" s="57">
        <f>$I79*D61</f>
        <v>0</v>
      </c>
      <c r="L79" s="59">
        <f>$I79*E61</f>
        <v>0</v>
      </c>
      <c r="M79" s="1"/>
      <c r="N79" s="1"/>
      <c r="O79" s="1"/>
      <c r="P79" s="1"/>
      <c r="Q79" s="1"/>
      <c r="R79" s="1"/>
      <c r="S79" s="1"/>
      <c r="T79" s="1"/>
      <c r="U79" s="1"/>
      <c r="V79" s="1"/>
      <c r="W79" s="1"/>
      <c r="X79" s="1"/>
      <c r="Y79" s="1"/>
      <c r="Z79" s="1"/>
      <c r="AA79" s="1"/>
    </row>
    <row r="80" spans="1:27" ht="12.75" customHeight="1" x14ac:dyDescent="0.2">
      <c r="A80" s="1"/>
      <c r="B80" s="13" t="str">
        <f t="shared" si="25"/>
        <v>Meals: Restaurants, bars,...</v>
      </c>
      <c r="C80" s="57">
        <f t="shared" si="26"/>
        <v>0</v>
      </c>
      <c r="D80" s="145"/>
      <c r="E80" s="145"/>
      <c r="F80" s="231">
        <f>K62</f>
        <v>0.99996399879455566</v>
      </c>
      <c r="G80" s="57">
        <f t="shared" si="27"/>
        <v>0</v>
      </c>
      <c r="H80" s="57">
        <f t="shared" si="28"/>
        <v>0</v>
      </c>
      <c r="I80" s="57">
        <f t="shared" si="29"/>
        <v>0</v>
      </c>
      <c r="J80" s="57">
        <f>($I80*C62)/1000</f>
        <v>0</v>
      </c>
      <c r="K80" s="57">
        <f>$I80*D62</f>
        <v>0</v>
      </c>
      <c r="L80" s="59">
        <f>$I80*E62</f>
        <v>0</v>
      </c>
      <c r="M80" s="1"/>
      <c r="N80" s="1"/>
      <c r="O80" s="1"/>
      <c r="P80" s="1"/>
      <c r="Q80" s="1"/>
      <c r="R80" s="1"/>
      <c r="S80" s="1"/>
      <c r="T80" s="1"/>
      <c r="U80" s="1"/>
      <c r="V80" s="1"/>
      <c r="W80" s="1"/>
      <c r="X80" s="1"/>
      <c r="Y80" s="1"/>
      <c r="Z80" s="1"/>
      <c r="AA80" s="1"/>
    </row>
    <row r="81" spans="1:27" ht="12.75" customHeight="1" x14ac:dyDescent="0.2">
      <c r="A81" s="1"/>
      <c r="B81" s="13" t="str">
        <f t="shared" si="25"/>
        <v xml:space="preserve">Groceries, </v>
      </c>
      <c r="C81" s="57">
        <f t="shared" si="26"/>
        <v>0</v>
      </c>
      <c r="D81" s="146">
        <v>0.253</v>
      </c>
      <c r="E81" s="146">
        <v>0.123</v>
      </c>
      <c r="F81" s="232">
        <f>K65</f>
        <v>0.88351523876190186</v>
      </c>
      <c r="G81" s="57">
        <f t="shared" si="27"/>
        <v>0</v>
      </c>
      <c r="H81" s="57">
        <f t="shared" si="28"/>
        <v>0</v>
      </c>
      <c r="I81" s="57">
        <f t="shared" ref="I81:I82" si="31">(C81-(C81*(D81+E81)))*F81</f>
        <v>0</v>
      </c>
      <c r="J81" s="57">
        <f>($I81*C65)/1000</f>
        <v>0</v>
      </c>
      <c r="K81" s="57">
        <f>$I81*D65</f>
        <v>0</v>
      </c>
      <c r="L81" s="59">
        <f>$I81*E65</f>
        <v>0</v>
      </c>
      <c r="M81" s="1"/>
      <c r="N81" s="1"/>
      <c r="O81" s="1"/>
      <c r="P81" s="1"/>
      <c r="Q81" s="1"/>
      <c r="R81" s="1"/>
      <c r="S81" s="1"/>
      <c r="T81" s="1"/>
      <c r="U81" s="1"/>
      <c r="V81" s="1"/>
      <c r="W81" s="1"/>
      <c r="X81" s="1"/>
      <c r="Y81" s="1"/>
      <c r="Z81" s="1"/>
      <c r="AA81" s="1"/>
    </row>
    <row r="82" spans="1:27" ht="12.75" customHeight="1" x14ac:dyDescent="0.2">
      <c r="A82" s="1"/>
      <c r="B82" s="13" t="str">
        <f t="shared" si="25"/>
        <v xml:space="preserve">Gas &amp; oil </v>
      </c>
      <c r="C82" s="57">
        <f t="shared" si="26"/>
        <v>0</v>
      </c>
      <c r="D82" s="146">
        <v>0.223</v>
      </c>
      <c r="E82" s="146">
        <v>8.3000000000000004E-2</v>
      </c>
      <c r="F82" s="232">
        <f>K66</f>
        <v>0.8</v>
      </c>
      <c r="G82" s="57">
        <f t="shared" si="27"/>
        <v>0</v>
      </c>
      <c r="H82" s="57">
        <f t="shared" si="28"/>
        <v>0</v>
      </c>
      <c r="I82" s="57">
        <f t="shared" si="31"/>
        <v>0</v>
      </c>
      <c r="J82" s="57">
        <f>($I82*C67)/1000</f>
        <v>0</v>
      </c>
      <c r="K82" s="66">
        <f>$I82*D67</f>
        <v>0</v>
      </c>
      <c r="L82" s="59">
        <f>$I82*E67</f>
        <v>0</v>
      </c>
      <c r="M82" s="1"/>
      <c r="N82" s="1"/>
      <c r="O82" s="1"/>
      <c r="P82" s="1"/>
      <c r="Q82" s="1"/>
      <c r="R82" s="1"/>
      <c r="S82" s="1"/>
      <c r="T82" s="1"/>
      <c r="U82" s="1"/>
      <c r="V82" s="1"/>
      <c r="W82" s="1"/>
      <c r="X82" s="1"/>
      <c r="Y82" s="1"/>
      <c r="Z82" s="1"/>
      <c r="AA82" s="1"/>
    </row>
    <row r="83" spans="1:27" ht="12.75" customHeight="1" x14ac:dyDescent="0.2">
      <c r="A83" s="1"/>
      <c r="B83" s="13" t="str">
        <f t="shared" si="25"/>
        <v xml:space="preserve">Local transportation </v>
      </c>
      <c r="C83" s="57">
        <f t="shared" si="26"/>
        <v>0</v>
      </c>
      <c r="D83" s="145"/>
      <c r="E83" s="145"/>
      <c r="F83" s="232">
        <f>K64</f>
        <v>1</v>
      </c>
      <c r="G83" s="57">
        <f t="shared" si="27"/>
        <v>0</v>
      </c>
      <c r="H83" s="57">
        <f t="shared" si="28"/>
        <v>0</v>
      </c>
      <c r="I83" s="57">
        <f t="shared" ref="I83:I85" si="32">C83*F83</f>
        <v>0</v>
      </c>
      <c r="J83" s="57">
        <f>($I83*C64)/1000</f>
        <v>0</v>
      </c>
      <c r="K83" s="57">
        <f>$I83*D64</f>
        <v>0</v>
      </c>
      <c r="L83" s="59">
        <f>$I83*E64</f>
        <v>0</v>
      </c>
      <c r="M83" s="1"/>
      <c r="N83" s="1"/>
      <c r="O83" s="1"/>
      <c r="P83" s="1"/>
      <c r="Q83" s="1"/>
      <c r="R83" s="1"/>
      <c r="S83" s="1"/>
      <c r="T83" s="1"/>
      <c r="U83" s="1"/>
      <c r="V83" s="1"/>
      <c r="W83" s="1"/>
      <c r="X83" s="1"/>
      <c r="Y83" s="1"/>
      <c r="Z83" s="1"/>
      <c r="AA83" s="1"/>
    </row>
    <row r="84" spans="1:27" ht="12.75" customHeight="1" x14ac:dyDescent="0.2">
      <c r="A84" s="1"/>
      <c r="B84" s="13" t="str">
        <f t="shared" si="25"/>
        <v>Admissions &amp; fees (PA entry)</v>
      </c>
      <c r="C84" s="57">
        <f t="shared" si="26"/>
        <v>0</v>
      </c>
      <c r="D84" s="145"/>
      <c r="E84" s="145"/>
      <c r="F84" s="232">
        <f>K63</f>
        <v>1</v>
      </c>
      <c r="G84" s="57">
        <f t="shared" si="27"/>
        <v>0</v>
      </c>
      <c r="H84" s="57">
        <f t="shared" si="28"/>
        <v>0</v>
      </c>
      <c r="I84" s="57">
        <f t="shared" si="32"/>
        <v>0</v>
      </c>
      <c r="J84" s="57">
        <f>($I84*C63)/1000</f>
        <v>0</v>
      </c>
      <c r="K84" s="57">
        <f>$I84*D63</f>
        <v>0</v>
      </c>
      <c r="L84" s="59">
        <f>$I84*E63</f>
        <v>0</v>
      </c>
      <c r="M84" s="1"/>
      <c r="N84" s="1"/>
      <c r="O84" s="1"/>
      <c r="P84" s="1"/>
      <c r="Q84" s="1"/>
      <c r="R84" s="1"/>
      <c r="S84" s="1"/>
      <c r="T84" s="1"/>
      <c r="U84" s="1"/>
      <c r="V84" s="1"/>
      <c r="W84" s="1"/>
      <c r="X84" s="1"/>
      <c r="Y84" s="1"/>
      <c r="Z84" s="1"/>
      <c r="AA84" s="1"/>
    </row>
    <row r="85" spans="1:27" ht="12.75" customHeight="1" x14ac:dyDescent="0.2">
      <c r="A85" s="1"/>
      <c r="B85" s="13" t="str">
        <f t="shared" si="25"/>
        <v>Activities and Guided Tours (e.g. game drives)</v>
      </c>
      <c r="C85" s="57">
        <f t="shared" si="26"/>
        <v>0</v>
      </c>
      <c r="D85" s="145"/>
      <c r="E85" s="145"/>
      <c r="F85" s="232">
        <v>1</v>
      </c>
      <c r="G85" s="57">
        <f t="shared" si="27"/>
        <v>0</v>
      </c>
      <c r="H85" s="57">
        <f t="shared" si="28"/>
        <v>0</v>
      </c>
      <c r="I85" s="57">
        <f t="shared" si="32"/>
        <v>0</v>
      </c>
      <c r="J85" s="57">
        <f>($I85*C63)/1000</f>
        <v>0</v>
      </c>
      <c r="K85" s="57">
        <f>$I85*D63</f>
        <v>0</v>
      </c>
      <c r="L85" s="59">
        <f>$I85*E63</f>
        <v>0</v>
      </c>
      <c r="M85" s="1"/>
      <c r="N85" s="1"/>
      <c r="O85" s="1"/>
      <c r="P85" s="1"/>
      <c r="Q85" s="1"/>
      <c r="R85" s="1"/>
      <c r="S85" s="1"/>
      <c r="T85" s="1"/>
      <c r="U85" s="1"/>
      <c r="V85" s="1"/>
      <c r="W85" s="1"/>
      <c r="X85" s="1"/>
      <c r="Y85" s="1"/>
      <c r="Z85" s="1"/>
      <c r="AA85" s="1"/>
    </row>
    <row r="86" spans="1:27" ht="12.75" customHeight="1" x14ac:dyDescent="0.2">
      <c r="A86" s="1"/>
      <c r="B86" s="13" t="str">
        <f t="shared" si="25"/>
        <v>Souvenirs and other gifts</v>
      </c>
      <c r="C86" s="57">
        <f t="shared" si="26"/>
        <v>0</v>
      </c>
      <c r="D86" s="146">
        <v>0.25</v>
      </c>
      <c r="E86" s="146">
        <v>0.123</v>
      </c>
      <c r="F86" s="232">
        <f>K69</f>
        <v>0.61480748653411865</v>
      </c>
      <c r="G86" s="57">
        <f t="shared" si="27"/>
        <v>0</v>
      </c>
      <c r="H86" s="57">
        <f t="shared" si="28"/>
        <v>0</v>
      </c>
      <c r="I86" s="57">
        <f>(C86-(C86*(D86+E86)))*F86</f>
        <v>0</v>
      </c>
      <c r="J86" s="57">
        <f>($I86*C69)/1000</f>
        <v>0</v>
      </c>
      <c r="K86" s="57">
        <f>$I86*D69</f>
        <v>0</v>
      </c>
      <c r="L86" s="59">
        <f>$I86*E69</f>
        <v>0</v>
      </c>
      <c r="M86" s="1"/>
      <c r="N86" s="1"/>
      <c r="O86" s="1"/>
      <c r="P86" s="1"/>
      <c r="Q86" s="1"/>
      <c r="R86" s="1"/>
      <c r="S86" s="1"/>
      <c r="T86" s="1"/>
      <c r="U86" s="1"/>
      <c r="V86" s="1"/>
      <c r="W86" s="1"/>
      <c r="X86" s="1"/>
      <c r="Y86" s="1"/>
      <c r="Z86" s="1"/>
      <c r="AA86" s="1"/>
    </row>
    <row r="87" spans="1:27" ht="12.75" customHeight="1" x14ac:dyDescent="0.2">
      <c r="A87" s="1"/>
      <c r="B87" s="13" t="str">
        <f t="shared" si="25"/>
        <v>Resource/Trophy Fees (purchase of resource, license, permits)</v>
      </c>
      <c r="C87" s="57">
        <f t="shared" si="26"/>
        <v>0</v>
      </c>
      <c r="D87" s="147"/>
      <c r="E87" s="147"/>
      <c r="F87" s="232">
        <f>K63</f>
        <v>1</v>
      </c>
      <c r="G87" s="57"/>
      <c r="H87" s="57"/>
      <c r="I87" s="57">
        <f t="shared" ref="I87:I90" si="33">C87*F87</f>
        <v>0</v>
      </c>
      <c r="J87" s="57">
        <f>($I87*C63)/1000</f>
        <v>0</v>
      </c>
      <c r="K87" s="57">
        <f>$I87*D63</f>
        <v>0</v>
      </c>
      <c r="L87" s="59">
        <f>$I87*E63</f>
        <v>0</v>
      </c>
      <c r="M87" s="1"/>
      <c r="N87" s="1"/>
      <c r="O87" s="1"/>
      <c r="P87" s="1"/>
      <c r="Q87" s="1"/>
      <c r="R87" s="1"/>
      <c r="S87" s="1"/>
      <c r="T87" s="1"/>
      <c r="U87" s="1"/>
      <c r="V87" s="1"/>
      <c r="W87" s="1"/>
      <c r="X87" s="1"/>
      <c r="Y87" s="1"/>
      <c r="Z87" s="1"/>
      <c r="AA87" s="1"/>
    </row>
    <row r="88" spans="1:27" ht="12.75" customHeight="1" x14ac:dyDescent="0.2">
      <c r="A88" s="1"/>
      <c r="B88" s="13" t="str">
        <f t="shared" si="25"/>
        <v>Local dip, pack, taxidermy</v>
      </c>
      <c r="C88" s="57">
        <f t="shared" si="26"/>
        <v>0</v>
      </c>
      <c r="D88" s="147"/>
      <c r="E88" s="147"/>
      <c r="F88" s="232">
        <f>K65</f>
        <v>0.88351523876190186</v>
      </c>
      <c r="G88" s="57"/>
      <c r="H88" s="57"/>
      <c r="I88" s="57">
        <f t="shared" si="33"/>
        <v>0</v>
      </c>
      <c r="J88" s="57">
        <f>($I88*C63)/1000</f>
        <v>0</v>
      </c>
      <c r="K88" s="57">
        <f>$I88*D64</f>
        <v>0</v>
      </c>
      <c r="L88" s="59">
        <f>$I88*E63</f>
        <v>0</v>
      </c>
      <c r="M88" s="1"/>
      <c r="N88" s="1"/>
      <c r="O88" s="1"/>
      <c r="P88" s="1"/>
      <c r="Q88" s="1"/>
      <c r="R88" s="1"/>
      <c r="S88" s="1"/>
      <c r="T88" s="1"/>
      <c r="U88" s="1"/>
      <c r="V88" s="1"/>
      <c r="W88" s="1"/>
      <c r="X88" s="1"/>
      <c r="Y88" s="1"/>
      <c r="Z88" s="1"/>
      <c r="AA88" s="1"/>
    </row>
    <row r="89" spans="1:27" ht="12.75" customHeight="1" x14ac:dyDescent="0.2">
      <c r="A89" s="1"/>
      <c r="B89" s="13" t="str">
        <f t="shared" si="25"/>
        <v>Gratuities and Tips</v>
      </c>
      <c r="C89" s="57">
        <f t="shared" si="26"/>
        <v>0</v>
      </c>
      <c r="D89" s="147"/>
      <c r="E89" s="147"/>
      <c r="F89" s="232">
        <v>1</v>
      </c>
      <c r="G89" s="57"/>
      <c r="H89" s="57"/>
      <c r="I89" s="57">
        <f t="shared" si="33"/>
        <v>0</v>
      </c>
      <c r="J89" s="57">
        <f>($I89*C63)/1000</f>
        <v>0</v>
      </c>
      <c r="K89" s="57">
        <f>$I89*D65</f>
        <v>0</v>
      </c>
      <c r="L89" s="59">
        <f>$I89*E63</f>
        <v>0</v>
      </c>
      <c r="M89" s="1"/>
      <c r="N89" s="1"/>
      <c r="O89" s="1"/>
      <c r="P89" s="1"/>
      <c r="Q89" s="1"/>
      <c r="R89" s="1"/>
      <c r="S89" s="1"/>
      <c r="T89" s="1"/>
      <c r="U89" s="1"/>
      <c r="V89" s="1"/>
      <c r="W89" s="1"/>
      <c r="X89" s="1"/>
      <c r="Y89" s="1"/>
      <c r="Z89" s="1"/>
      <c r="AA89" s="1"/>
    </row>
    <row r="90" spans="1:27" ht="12.75" customHeight="1" x14ac:dyDescent="0.2">
      <c r="A90" s="1"/>
      <c r="B90" s="13" t="str">
        <f t="shared" si="25"/>
        <v>Other expenses</v>
      </c>
      <c r="C90" s="57">
        <f t="shared" si="26"/>
        <v>0</v>
      </c>
      <c r="D90" s="147"/>
      <c r="E90" s="147"/>
      <c r="F90" s="232">
        <f>K62</f>
        <v>0.99996399879455566</v>
      </c>
      <c r="G90" s="57"/>
      <c r="H90" s="57"/>
      <c r="I90" s="57">
        <f t="shared" si="33"/>
        <v>0</v>
      </c>
      <c r="J90" s="57" t="e">
        <f>(((I77/I93)*C60 + ((I78+I79)/I93)*C61 + (I80/I93)*C62 + (I81/I93)*C65 + (I82/I93)*C67 + (I83/I93)*C64 + ((I84+I85+I87+I88+I89)/I93)*C63 + (I86/I93)*C69 + (I91/I93)*C70 + (I92/I93)*C71) * I90)/1000</f>
        <v>#DIV/0!</v>
      </c>
      <c r="K90" s="57" t="e">
        <f>((I77/I93)*D60 + ((I78+I79)/I93)*D61 + (I80/I93)*D62 + (I81/I93)*D65 + (I82/I93)*D67 + (I83/I93)*D64 + ((I84+I85+I87+I88+I89)/I93)*D63 + (I86/I93)*D69 + (I91/I93)*D70 + (I92/I93)*D71) * I90</f>
        <v>#DIV/0!</v>
      </c>
      <c r="L90" s="59" t="e">
        <f>((I77/I93)*E60 + ((I78+I79)/I93)*E61 + (I80/I93)*E62 + (I81/I93)*E65 + (I82/I93)*E67 + (I83/I93)*E64 + ((I84+I85+I87+I88+I89)/I93)*E63 + (I86/I93)*E69 + (I91/I93)*E70 + (I92/I93)*E71) * I90</f>
        <v>#DIV/0!</v>
      </c>
      <c r="M90" s="1"/>
      <c r="N90" s="1"/>
      <c r="O90" s="1"/>
      <c r="P90" s="1"/>
      <c r="Q90" s="1"/>
      <c r="R90" s="1"/>
      <c r="S90" s="1"/>
      <c r="T90" s="1"/>
      <c r="U90" s="1"/>
      <c r="V90" s="1"/>
      <c r="W90" s="1"/>
      <c r="X90" s="1"/>
      <c r="Y90" s="1"/>
      <c r="Z90" s="1"/>
      <c r="AA90" s="1"/>
    </row>
    <row r="91" spans="1:27" ht="15.75" customHeight="1" x14ac:dyDescent="0.2">
      <c r="A91" s="1"/>
      <c r="B91" s="13" t="s">
        <v>106</v>
      </c>
      <c r="C91" s="148" t="s">
        <v>107</v>
      </c>
      <c r="D91" s="149"/>
      <c r="E91" s="149"/>
      <c r="F91" s="232">
        <f>K70</f>
        <v>1</v>
      </c>
      <c r="G91" s="150"/>
      <c r="H91" s="150"/>
      <c r="I91" s="57">
        <f>G93</f>
        <v>0</v>
      </c>
      <c r="J91" s="57">
        <f>(I91*C70)/1000</f>
        <v>0</v>
      </c>
      <c r="K91" s="57">
        <f>I91*D70</f>
        <v>0</v>
      </c>
      <c r="L91" s="59">
        <f>I91*E70</f>
        <v>0</v>
      </c>
      <c r="M91" s="1"/>
      <c r="N91" s="1"/>
      <c r="O91" s="1"/>
      <c r="P91" s="1"/>
      <c r="Q91" s="1"/>
      <c r="R91" s="1"/>
      <c r="S91" s="1"/>
      <c r="T91" s="1"/>
      <c r="U91" s="1"/>
      <c r="V91" s="1"/>
      <c r="W91" s="1"/>
      <c r="X91" s="1"/>
      <c r="Y91" s="1"/>
      <c r="Z91" s="1"/>
      <c r="AA91" s="1"/>
    </row>
    <row r="92" spans="1:27" ht="15.75" customHeight="1" x14ac:dyDescent="0.2">
      <c r="A92" s="1"/>
      <c r="B92" s="151" t="s">
        <v>108</v>
      </c>
      <c r="C92" s="148" t="s">
        <v>107</v>
      </c>
      <c r="D92" s="149"/>
      <c r="E92" s="149"/>
      <c r="F92" s="233">
        <f>K71</f>
        <v>1</v>
      </c>
      <c r="G92" s="150"/>
      <c r="H92" s="150"/>
      <c r="I92" s="57">
        <f>H93*F92</f>
        <v>0</v>
      </c>
      <c r="J92" s="57">
        <f>(I92*C71)/1000</f>
        <v>0</v>
      </c>
      <c r="K92" s="57">
        <f>I92*D71</f>
        <v>0</v>
      </c>
      <c r="L92" s="59">
        <f>I92*E71</f>
        <v>0</v>
      </c>
      <c r="M92" s="1"/>
      <c r="N92" s="1"/>
      <c r="O92" s="1"/>
      <c r="P92" s="1"/>
      <c r="Q92" s="1"/>
      <c r="R92" s="1"/>
      <c r="S92" s="1"/>
      <c r="T92" s="1"/>
      <c r="U92" s="1"/>
      <c r="V92" s="1"/>
      <c r="W92" s="1"/>
      <c r="X92" s="1"/>
      <c r="Y92" s="1"/>
      <c r="Z92" s="1"/>
      <c r="AA92" s="1"/>
    </row>
    <row r="93" spans="1:27" ht="14.25" customHeight="1" x14ac:dyDescent="0.2">
      <c r="A93" s="1"/>
      <c r="B93" s="52" t="s">
        <v>18</v>
      </c>
      <c r="C93" s="73">
        <f>O53</f>
        <v>0</v>
      </c>
      <c r="D93" s="54"/>
      <c r="E93" s="54"/>
      <c r="F93" s="54"/>
      <c r="G93" s="73">
        <f t="shared" ref="G93:L93" si="34">SUM(G77:G92)</f>
        <v>0</v>
      </c>
      <c r="H93" s="73">
        <f t="shared" si="34"/>
        <v>0</v>
      </c>
      <c r="I93" s="73">
        <f t="shared" si="34"/>
        <v>0</v>
      </c>
      <c r="J93" s="73" t="e">
        <f t="shared" si="34"/>
        <v>#DIV/0!</v>
      </c>
      <c r="K93" s="73" t="e">
        <f t="shared" si="34"/>
        <v>#DIV/0!</v>
      </c>
      <c r="L93" s="74" t="e">
        <f t="shared" si="34"/>
        <v>#DIV/0!</v>
      </c>
      <c r="M93" s="1"/>
      <c r="N93" s="1"/>
      <c r="O93" s="1"/>
      <c r="P93" s="1"/>
      <c r="Q93" s="1"/>
      <c r="R93" s="1"/>
      <c r="S93" s="1"/>
      <c r="T93" s="1"/>
      <c r="U93" s="1"/>
      <c r="V93" s="1"/>
      <c r="W93" s="1"/>
      <c r="X93" s="1"/>
      <c r="Y93" s="1"/>
      <c r="Z93" s="1"/>
      <c r="AA93" s="1"/>
    </row>
    <row r="94" spans="1:27" ht="15" customHeight="1" x14ac:dyDescent="0.2">
      <c r="A94" s="1"/>
      <c r="B94" s="152" t="s">
        <v>54</v>
      </c>
      <c r="C94" s="153" t="e">
        <f>I93/C93</f>
        <v>#DIV/0!</v>
      </c>
      <c r="D94" s="2"/>
      <c r="E94" s="2"/>
      <c r="F94" s="2"/>
      <c r="G94" s="2"/>
      <c r="H94" s="2"/>
      <c r="I94" s="2"/>
      <c r="J94" s="2"/>
      <c r="K94" s="2"/>
      <c r="L94" s="2"/>
      <c r="M94" s="2"/>
      <c r="N94" s="1"/>
      <c r="O94" s="1"/>
      <c r="P94" s="1"/>
      <c r="Q94" s="1"/>
      <c r="R94" s="1"/>
      <c r="S94" s="1"/>
      <c r="T94" s="1"/>
      <c r="U94" s="1"/>
      <c r="V94" s="1"/>
      <c r="W94" s="1"/>
      <c r="X94" s="1"/>
      <c r="Y94" s="1"/>
      <c r="Z94" s="1"/>
      <c r="AA94" s="1"/>
    </row>
    <row r="95" spans="1:27" ht="24"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6.5" customHeight="1" x14ac:dyDescent="0.2">
      <c r="A96" s="95" t="s">
        <v>109</v>
      </c>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3.5" customHeight="1" x14ac:dyDescent="0.2">
      <c r="A97" s="1"/>
      <c r="B97" s="22" t="str">
        <f>"Computation of Total Effects (" &amp;L8&amp; " 000's)"</f>
        <v>Computation of Total Effects ($ 000's)</v>
      </c>
      <c r="C97" s="266" t="str">
        <f>C75</f>
        <v xml:space="preserve"> Spending, sales, income and value added in ($ 000's)</v>
      </c>
      <c r="D97" s="267"/>
      <c r="E97" s="267"/>
      <c r="F97" s="267"/>
      <c r="G97" s="269"/>
      <c r="H97" s="2"/>
      <c r="I97" s="1"/>
      <c r="J97" s="1"/>
      <c r="K97" s="1"/>
      <c r="L97" s="1"/>
      <c r="M97" s="1"/>
      <c r="N97" s="1"/>
      <c r="O97" s="1"/>
      <c r="P97" s="1"/>
      <c r="Q97" s="1"/>
      <c r="R97" s="1"/>
      <c r="S97" s="1"/>
      <c r="T97" s="1"/>
      <c r="U97" s="1"/>
      <c r="V97" s="1"/>
      <c r="W97" s="1"/>
      <c r="X97" s="1"/>
      <c r="Y97" s="1"/>
      <c r="Z97" s="1"/>
      <c r="AA97" s="1"/>
    </row>
    <row r="98" spans="1:27" ht="27" customHeight="1" x14ac:dyDescent="0.2">
      <c r="A98" s="1"/>
      <c r="B98" s="154"/>
      <c r="C98" s="132" t="s">
        <v>110</v>
      </c>
      <c r="D98" s="155" t="s">
        <v>111</v>
      </c>
      <c r="E98" s="155" t="s">
        <v>112</v>
      </c>
      <c r="F98" s="156" t="s">
        <v>113</v>
      </c>
      <c r="G98" s="157" t="s">
        <v>114</v>
      </c>
      <c r="H98" s="1"/>
      <c r="I98" s="1"/>
      <c r="J98" s="1"/>
      <c r="K98" s="1"/>
      <c r="L98" s="1"/>
      <c r="M98" s="1"/>
      <c r="N98" s="1"/>
      <c r="O98" s="1"/>
      <c r="P98" s="1"/>
      <c r="Q98" s="1"/>
      <c r="R98" s="1"/>
      <c r="S98" s="1"/>
      <c r="T98" s="1"/>
      <c r="U98" s="1"/>
      <c r="V98" s="1"/>
      <c r="W98" s="1"/>
      <c r="X98" s="1"/>
      <c r="Y98" s="1"/>
      <c r="Z98" s="1"/>
      <c r="AA98" s="1"/>
    </row>
    <row r="99" spans="1:27" ht="12.75" customHeight="1" x14ac:dyDescent="0.2">
      <c r="A99" s="1"/>
      <c r="B99" s="22" t="str">
        <f t="shared" ref="B99:B112" si="35">B19</f>
        <v>All inclusive packages</v>
      </c>
      <c r="C99" s="25">
        <f>$I77*F60</f>
        <v>0</v>
      </c>
      <c r="D99" s="25">
        <f>($I77*G60)/1000</f>
        <v>0</v>
      </c>
      <c r="E99" s="25">
        <f t="shared" ref="E99:G100" si="36">$I77*H60</f>
        <v>0</v>
      </c>
      <c r="F99" s="158">
        <f t="shared" si="36"/>
        <v>0</v>
      </c>
      <c r="G99" s="144">
        <f t="shared" si="36"/>
        <v>0</v>
      </c>
      <c r="H99" s="1"/>
      <c r="I99" s="1"/>
      <c r="J99" s="1"/>
      <c r="K99" s="1"/>
      <c r="L99" s="1"/>
      <c r="M99" s="1"/>
      <c r="N99" s="1"/>
      <c r="O99" s="1"/>
      <c r="P99" s="1"/>
      <c r="Q99" s="1"/>
      <c r="R99" s="1"/>
      <c r="S99" s="1"/>
      <c r="T99" s="1"/>
      <c r="U99" s="1"/>
      <c r="V99" s="1"/>
      <c r="W99" s="1"/>
      <c r="X99" s="1"/>
      <c r="Y99" s="1"/>
      <c r="Z99" s="1"/>
      <c r="AA99" s="1"/>
    </row>
    <row r="100" spans="1:27" ht="15" customHeight="1" x14ac:dyDescent="0.2">
      <c r="A100" s="1"/>
      <c r="B100" s="13" t="str">
        <f t="shared" si="35"/>
        <v>Accomodation: Hotel, lodges, B&amp;B, bushcamps,...</v>
      </c>
      <c r="C100" s="57">
        <f>$I78*F61</f>
        <v>0</v>
      </c>
      <c r="D100" s="57">
        <f>($I78*G61)/1000</f>
        <v>0</v>
      </c>
      <c r="E100" s="57">
        <f t="shared" si="36"/>
        <v>0</v>
      </c>
      <c r="F100" s="109">
        <f t="shared" si="36"/>
        <v>0</v>
      </c>
      <c r="G100" s="59">
        <f t="shared" si="36"/>
        <v>0</v>
      </c>
      <c r="H100" s="134"/>
      <c r="I100" s="1"/>
      <c r="J100" s="1"/>
      <c r="K100" s="1"/>
      <c r="L100" s="1"/>
      <c r="M100" s="1"/>
      <c r="N100" s="1"/>
      <c r="O100" s="1"/>
      <c r="P100" s="1"/>
      <c r="Q100" s="1"/>
      <c r="R100" s="1"/>
      <c r="S100" s="1"/>
      <c r="T100" s="1"/>
      <c r="U100" s="1"/>
      <c r="V100" s="1"/>
      <c r="W100" s="1"/>
      <c r="X100" s="1"/>
      <c r="Y100" s="1"/>
      <c r="Z100" s="1"/>
      <c r="AA100" s="1"/>
    </row>
    <row r="101" spans="1:27" ht="12.75" customHeight="1" x14ac:dyDescent="0.2">
      <c r="A101" s="1"/>
      <c r="B101" s="13" t="str">
        <f t="shared" si="35"/>
        <v xml:space="preserve">Camping fees </v>
      </c>
      <c r="C101" s="57">
        <f>$I79*F61</f>
        <v>0</v>
      </c>
      <c r="D101" s="57">
        <f>($I79*G61)/1000</f>
        <v>0</v>
      </c>
      <c r="E101" s="57">
        <f t="shared" ref="E101:G102" si="37">$I79*H61</f>
        <v>0</v>
      </c>
      <c r="F101" s="109">
        <f t="shared" si="37"/>
        <v>0</v>
      </c>
      <c r="G101" s="59">
        <f t="shared" si="37"/>
        <v>0</v>
      </c>
      <c r="H101" s="134"/>
      <c r="I101" s="1"/>
      <c r="J101" s="1"/>
      <c r="K101" s="1"/>
      <c r="L101" s="1"/>
      <c r="M101" s="1"/>
      <c r="N101" s="1"/>
      <c r="O101" s="1"/>
      <c r="P101" s="1"/>
      <c r="Q101" s="1"/>
      <c r="R101" s="1"/>
      <c r="S101" s="1"/>
      <c r="T101" s="1"/>
      <c r="U101" s="1"/>
      <c r="V101" s="1"/>
      <c r="W101" s="1"/>
      <c r="X101" s="1"/>
      <c r="Y101" s="1"/>
      <c r="Z101" s="1"/>
      <c r="AA101" s="1"/>
    </row>
    <row r="102" spans="1:27" ht="12.75" customHeight="1" x14ac:dyDescent="0.2">
      <c r="A102" s="1"/>
      <c r="B102" s="13" t="str">
        <f t="shared" si="35"/>
        <v>Meals: Restaurants, bars,...</v>
      </c>
      <c r="C102" s="57">
        <f>$I80*F62</f>
        <v>0</v>
      </c>
      <c r="D102" s="57">
        <f>($I80*G62)/1000</f>
        <v>0</v>
      </c>
      <c r="E102" s="57">
        <f t="shared" si="37"/>
        <v>0</v>
      </c>
      <c r="F102" s="109">
        <f t="shared" si="37"/>
        <v>0</v>
      </c>
      <c r="G102" s="59">
        <f t="shared" si="37"/>
        <v>0</v>
      </c>
      <c r="H102" s="134"/>
      <c r="I102" s="1"/>
      <c r="J102" s="1"/>
      <c r="K102" s="1"/>
      <c r="L102" s="1"/>
      <c r="M102" s="1"/>
      <c r="N102" s="1"/>
      <c r="O102" s="1"/>
      <c r="P102" s="1"/>
      <c r="Q102" s="1"/>
      <c r="R102" s="1"/>
      <c r="S102" s="1"/>
      <c r="T102" s="1"/>
      <c r="U102" s="1"/>
      <c r="V102" s="1"/>
      <c r="W102" s="1"/>
      <c r="X102" s="1"/>
      <c r="Y102" s="1"/>
      <c r="Z102" s="1"/>
      <c r="AA102" s="1"/>
    </row>
    <row r="103" spans="1:27" ht="12.75" customHeight="1" x14ac:dyDescent="0.2">
      <c r="A103" s="1"/>
      <c r="B103" s="13" t="str">
        <f t="shared" si="35"/>
        <v xml:space="preserve">Groceries, </v>
      </c>
      <c r="C103" s="57">
        <f>$I81*F65</f>
        <v>0</v>
      </c>
      <c r="D103" s="57">
        <f>($I81*G65)/1000</f>
        <v>0</v>
      </c>
      <c r="E103" s="57">
        <f>$I81*H65</f>
        <v>0</v>
      </c>
      <c r="F103" s="109">
        <f>$I81*I65</f>
        <v>0</v>
      </c>
      <c r="G103" s="59">
        <f>$I81*J65</f>
        <v>0</v>
      </c>
      <c r="H103" s="134"/>
      <c r="I103" s="1"/>
      <c r="J103" s="1"/>
      <c r="K103" s="1"/>
      <c r="L103" s="1"/>
      <c r="M103" s="1"/>
      <c r="N103" s="1"/>
      <c r="O103" s="1"/>
      <c r="P103" s="1"/>
      <c r="Q103" s="1"/>
      <c r="R103" s="1"/>
      <c r="S103" s="1"/>
      <c r="T103" s="1"/>
      <c r="U103" s="1"/>
      <c r="V103" s="1"/>
      <c r="W103" s="1"/>
      <c r="X103" s="1"/>
      <c r="Y103" s="1"/>
      <c r="Z103" s="1"/>
      <c r="AA103" s="1"/>
    </row>
    <row r="104" spans="1:27" ht="12.75" customHeight="1" x14ac:dyDescent="0.2">
      <c r="A104" s="1"/>
      <c r="B104" s="13" t="str">
        <f t="shared" si="35"/>
        <v xml:space="preserve">Gas &amp; oil </v>
      </c>
      <c r="C104" s="57">
        <f>$I82*F67</f>
        <v>0</v>
      </c>
      <c r="D104" s="57">
        <f>($I82*G67)/1000</f>
        <v>0</v>
      </c>
      <c r="E104" s="57">
        <f>$I82*H67</f>
        <v>0</v>
      </c>
      <c r="F104" s="109">
        <f>$I82*I67</f>
        <v>0</v>
      </c>
      <c r="G104" s="59">
        <f>$I82*J67</f>
        <v>0</v>
      </c>
      <c r="H104" s="134"/>
      <c r="I104" s="1"/>
      <c r="J104" s="1"/>
      <c r="K104" s="1"/>
      <c r="L104" s="1"/>
      <c r="M104" s="1"/>
      <c r="N104" s="1"/>
      <c r="O104" s="1"/>
      <c r="P104" s="1"/>
      <c r="Q104" s="1"/>
      <c r="R104" s="1"/>
      <c r="S104" s="1"/>
      <c r="T104" s="1"/>
      <c r="U104" s="1"/>
      <c r="V104" s="1"/>
      <c r="W104" s="1"/>
      <c r="X104" s="1"/>
      <c r="Y104" s="1"/>
      <c r="Z104" s="1"/>
      <c r="AA104" s="1"/>
    </row>
    <row r="105" spans="1:27" ht="12.75" customHeight="1" x14ac:dyDescent="0.2">
      <c r="A105" s="1"/>
      <c r="B105" s="13" t="str">
        <f t="shared" si="35"/>
        <v xml:space="preserve">Local transportation </v>
      </c>
      <c r="C105" s="57">
        <f>$I83*F64</f>
        <v>0</v>
      </c>
      <c r="D105" s="57">
        <f>($I83*G64)/1000</f>
        <v>0</v>
      </c>
      <c r="E105" s="57">
        <f>$I83*H64</f>
        <v>0</v>
      </c>
      <c r="F105" s="109">
        <f>$I83*I64</f>
        <v>0</v>
      </c>
      <c r="G105" s="59">
        <f>$I83*J64</f>
        <v>0</v>
      </c>
      <c r="H105" s="134"/>
      <c r="I105" s="1"/>
      <c r="J105" s="1"/>
      <c r="K105" s="1"/>
      <c r="L105" s="1"/>
      <c r="M105" s="1"/>
      <c r="N105" s="1"/>
      <c r="O105" s="1"/>
      <c r="P105" s="1"/>
      <c r="Q105" s="1"/>
      <c r="R105" s="1"/>
      <c r="S105" s="1"/>
      <c r="T105" s="1"/>
      <c r="U105" s="1"/>
      <c r="V105" s="1"/>
      <c r="W105" s="1"/>
      <c r="X105" s="1"/>
      <c r="Y105" s="1"/>
      <c r="Z105" s="1"/>
      <c r="AA105" s="1"/>
    </row>
    <row r="106" spans="1:27" ht="12.75" customHeight="1" x14ac:dyDescent="0.2">
      <c r="A106" s="1"/>
      <c r="B106" s="13" t="str">
        <f t="shared" si="35"/>
        <v>Admissions &amp; fees (PA entry)</v>
      </c>
      <c r="C106" s="57">
        <f>$I84*F63</f>
        <v>0</v>
      </c>
      <c r="D106" s="57">
        <f>($I84*G63)/1000</f>
        <v>0</v>
      </c>
      <c r="E106" s="57">
        <f>$I84*H63</f>
        <v>0</v>
      </c>
      <c r="F106" s="109">
        <f>$I84*I63</f>
        <v>0</v>
      </c>
      <c r="G106" s="59">
        <f>$I84*J63</f>
        <v>0</v>
      </c>
      <c r="H106" s="134"/>
      <c r="I106" s="1"/>
      <c r="J106" s="1"/>
      <c r="K106" s="1"/>
      <c r="L106" s="1"/>
      <c r="M106" s="1"/>
      <c r="N106" s="1"/>
      <c r="O106" s="1"/>
      <c r="P106" s="1"/>
      <c r="Q106" s="1"/>
      <c r="R106" s="1"/>
      <c r="S106" s="1"/>
      <c r="T106" s="1"/>
      <c r="U106" s="1"/>
      <c r="V106" s="1"/>
      <c r="W106" s="1"/>
      <c r="X106" s="1"/>
      <c r="Y106" s="1"/>
      <c r="Z106" s="1"/>
      <c r="AA106" s="1"/>
    </row>
    <row r="107" spans="1:27" ht="12" customHeight="1" x14ac:dyDescent="0.2">
      <c r="A107" s="1"/>
      <c r="B107" s="13" t="str">
        <f t="shared" si="35"/>
        <v>Activities and Guided Tours (e.g. game drives)</v>
      </c>
      <c r="C107" s="57">
        <f>$I85*F63</f>
        <v>0</v>
      </c>
      <c r="D107" s="57">
        <f>($I85*G63)/1000</f>
        <v>0</v>
      </c>
      <c r="E107" s="57">
        <f>$I85*H63</f>
        <v>0</v>
      </c>
      <c r="F107" s="109">
        <f>$I85*I63</f>
        <v>0</v>
      </c>
      <c r="G107" s="59">
        <f>$I85*J63</f>
        <v>0</v>
      </c>
      <c r="H107" s="134"/>
      <c r="I107" s="1"/>
      <c r="J107" s="1"/>
      <c r="K107" s="1"/>
      <c r="L107" s="1"/>
      <c r="M107" s="1"/>
      <c r="N107" s="1"/>
      <c r="O107" s="1"/>
      <c r="P107" s="1"/>
      <c r="Q107" s="1"/>
      <c r="R107" s="1"/>
      <c r="S107" s="1"/>
      <c r="T107" s="1"/>
      <c r="U107" s="1"/>
      <c r="V107" s="1"/>
      <c r="W107" s="1"/>
      <c r="X107" s="1"/>
      <c r="Y107" s="1"/>
      <c r="Z107" s="1"/>
      <c r="AA107" s="1"/>
    </row>
    <row r="108" spans="1:27" ht="13.5" customHeight="1" x14ac:dyDescent="0.2">
      <c r="A108" s="1"/>
      <c r="B108" s="13" t="str">
        <f t="shared" si="35"/>
        <v>Souvenirs and other gifts</v>
      </c>
      <c r="C108" s="57">
        <f>$I86*F69</f>
        <v>0</v>
      </c>
      <c r="D108" s="57">
        <f>($I86*G69)/1000</f>
        <v>0</v>
      </c>
      <c r="E108" s="57">
        <f>$I86*H69</f>
        <v>0</v>
      </c>
      <c r="F108" s="109">
        <f>$I86*I69</f>
        <v>0</v>
      </c>
      <c r="G108" s="59">
        <f>$I86*J69</f>
        <v>0</v>
      </c>
      <c r="H108" s="134"/>
      <c r="I108" s="159"/>
      <c r="J108" s="159"/>
      <c r="K108" s="160"/>
      <c r="L108" s="160"/>
      <c r="M108" s="161"/>
      <c r="N108" s="1"/>
      <c r="O108" s="1"/>
      <c r="P108" s="1"/>
      <c r="Q108" s="1"/>
      <c r="R108" s="1"/>
      <c r="S108" s="1"/>
      <c r="T108" s="1"/>
      <c r="U108" s="1"/>
      <c r="V108" s="1"/>
      <c r="W108" s="1"/>
      <c r="X108" s="1"/>
      <c r="Y108" s="1"/>
      <c r="Z108" s="1"/>
      <c r="AA108" s="1"/>
    </row>
    <row r="109" spans="1:27" ht="13.5" customHeight="1" x14ac:dyDescent="0.2">
      <c r="A109" s="1"/>
      <c r="B109" s="13" t="str">
        <f t="shared" si="35"/>
        <v>Resource/Trophy Fees (purchase of resource, license, permits)</v>
      </c>
      <c r="C109" s="57">
        <f t="shared" ref="C109:C111" si="38">$I87*F$63</f>
        <v>0</v>
      </c>
      <c r="D109" s="57">
        <f t="shared" ref="D109:D111" si="39">($I87*G$63)/1000</f>
        <v>0</v>
      </c>
      <c r="E109" s="57">
        <f t="shared" ref="E109:G109" si="40">$I87*H$63</f>
        <v>0</v>
      </c>
      <c r="F109" s="57">
        <f t="shared" si="40"/>
        <v>0</v>
      </c>
      <c r="G109" s="59">
        <f t="shared" si="40"/>
        <v>0</v>
      </c>
      <c r="H109" s="134"/>
      <c r="I109" s="159"/>
      <c r="J109" s="159"/>
      <c r="K109" s="160"/>
      <c r="L109" s="160"/>
      <c r="M109" s="161"/>
      <c r="N109" s="1"/>
      <c r="O109" s="1"/>
      <c r="P109" s="1"/>
      <c r="Q109" s="1"/>
      <c r="R109" s="1"/>
      <c r="S109" s="1"/>
      <c r="T109" s="1"/>
      <c r="U109" s="1"/>
      <c r="V109" s="1"/>
      <c r="W109" s="1"/>
      <c r="X109" s="1"/>
      <c r="Y109" s="1"/>
      <c r="Z109" s="1"/>
      <c r="AA109" s="1"/>
    </row>
    <row r="110" spans="1:27" ht="13.5" customHeight="1" x14ac:dyDescent="0.2">
      <c r="A110" s="1"/>
      <c r="B110" s="13" t="str">
        <f t="shared" si="35"/>
        <v>Local dip, pack, taxidermy</v>
      </c>
      <c r="C110" s="57">
        <f t="shared" si="38"/>
        <v>0</v>
      </c>
      <c r="D110" s="57">
        <f t="shared" si="39"/>
        <v>0</v>
      </c>
      <c r="E110" s="57">
        <f t="shared" ref="E110:G110" si="41">$I88*H$63</f>
        <v>0</v>
      </c>
      <c r="F110" s="57">
        <f t="shared" si="41"/>
        <v>0</v>
      </c>
      <c r="G110" s="59">
        <f t="shared" si="41"/>
        <v>0</v>
      </c>
      <c r="H110" s="134"/>
      <c r="I110" s="159"/>
      <c r="J110" s="159"/>
      <c r="K110" s="160"/>
      <c r="L110" s="160"/>
      <c r="M110" s="161"/>
      <c r="N110" s="1"/>
      <c r="O110" s="1"/>
      <c r="P110" s="1"/>
      <c r="Q110" s="1"/>
      <c r="R110" s="1"/>
      <c r="S110" s="1"/>
      <c r="T110" s="1"/>
      <c r="U110" s="1"/>
      <c r="V110" s="1"/>
      <c r="W110" s="1"/>
      <c r="X110" s="1"/>
      <c r="Y110" s="1"/>
      <c r="Z110" s="1"/>
      <c r="AA110" s="1"/>
    </row>
    <row r="111" spans="1:27" ht="13.5" customHeight="1" x14ac:dyDescent="0.2">
      <c r="A111" s="1"/>
      <c r="B111" s="13" t="str">
        <f t="shared" si="35"/>
        <v>Gratuities and Tips</v>
      </c>
      <c r="C111" s="57">
        <f t="shared" si="38"/>
        <v>0</v>
      </c>
      <c r="D111" s="57">
        <f t="shared" si="39"/>
        <v>0</v>
      </c>
      <c r="E111" s="57">
        <f t="shared" ref="E111:G111" si="42">$I89*H$63</f>
        <v>0</v>
      </c>
      <c r="F111" s="57">
        <f t="shared" si="42"/>
        <v>0</v>
      </c>
      <c r="G111" s="59">
        <f t="shared" si="42"/>
        <v>0</v>
      </c>
      <c r="H111" s="134"/>
      <c r="I111" s="159"/>
      <c r="J111" s="159"/>
      <c r="K111" s="160"/>
      <c r="L111" s="160"/>
      <c r="M111" s="161"/>
      <c r="N111" s="1"/>
      <c r="O111" s="1"/>
      <c r="P111" s="1"/>
      <c r="Q111" s="1"/>
      <c r="R111" s="1"/>
      <c r="S111" s="1"/>
      <c r="T111" s="1"/>
      <c r="U111" s="1"/>
      <c r="V111" s="1"/>
      <c r="W111" s="1"/>
      <c r="X111" s="1"/>
      <c r="Y111" s="1"/>
      <c r="Z111" s="1"/>
      <c r="AA111" s="1"/>
    </row>
    <row r="112" spans="1:27" ht="13.5" customHeight="1" x14ac:dyDescent="0.2">
      <c r="A112" s="1"/>
      <c r="B112" s="13" t="str">
        <f t="shared" si="35"/>
        <v>Other expenses</v>
      </c>
      <c r="C112" s="57" t="e">
        <f>((I77/I93)*F60 + ((I78+I79)/I93)*F61 + (I80/I93)*F62 + (I81/I93)*F65 + (I82/I93)*F67 + (I83/I93)*F64 + ((I84+I85+I87+I88+I89)/I93)*F63 + (I86/I93)*F69 + (I91/I93)*F70 + (I92/I93)*F71) * I90</f>
        <v>#DIV/0!</v>
      </c>
      <c r="D112" s="57" t="e">
        <f>(((I77/I93)*G60 + ((I78+I79)/I93)*G61 + (I80/I93)*G62 + (I81/I93)*G65 + (I82/I93)*G67 + (I83/I93)*G64 + ((I84+I85+I87+I88+I89)/I93)*G63 + (I86/I93)*G69 + (I91/I93)*G70 + (I92/I93)*G71) * I90)/1000</f>
        <v>#DIV/0!</v>
      </c>
      <c r="E112" s="57" t="e">
        <f>((I77/I93)*H60 + ((I78+I79)/I93)*H61 + (I80/I93)*H62 + (I81/I93)*H65 + (I82/I93)*H67 + (I83/I93)*H64 + ((I84+I85+I87+I88+I89)/I93)*H63 + (I86/I93)*H69 + (I91/I93)*H70 + (I92/I93)*H71) * I90</f>
        <v>#DIV/0!</v>
      </c>
      <c r="F112" s="57" t="e">
        <f>((I77/I93)*I60 + ((I78+I79)/I93)*I61 + (I80/I93)*I62 + (I81/I93)*I65 + (I82/I93)*I67 + (I83/I93)*I64 + ((I84+I85+I87+I88+I89)/I93)*I63 + (I86/I93)*I69 + (I91/I93)*I70 + (I92/I93)*I71) * I90</f>
        <v>#DIV/0!</v>
      </c>
      <c r="G112" s="59" t="e">
        <f>((I77/I93)*J60 + ((I78+I79)/I93)*J61 + (I80/I93)*J62 + (I81/I93)*J65 + (I82/I93)*J67 + (I83/I93)*J64 + ((I84+I85+I87+I88+I89)/I93)*J63 + (I86/I93)*J69 + (I91/I93)*J70 + (I92/I93)*J71) * I90</f>
        <v>#DIV/0!</v>
      </c>
      <c r="H112" s="134"/>
      <c r="I112" s="159"/>
      <c r="J112" s="159"/>
      <c r="K112" s="160"/>
      <c r="L112" s="160"/>
      <c r="M112" s="161"/>
      <c r="N112" s="1"/>
      <c r="O112" s="1"/>
      <c r="P112" s="1"/>
      <c r="Q112" s="1"/>
      <c r="R112" s="1"/>
      <c r="S112" s="1"/>
      <c r="T112" s="1"/>
      <c r="U112" s="1"/>
      <c r="V112" s="1"/>
      <c r="W112" s="1"/>
      <c r="X112" s="1"/>
      <c r="Y112" s="1"/>
      <c r="Z112" s="1"/>
      <c r="AA112" s="1"/>
    </row>
    <row r="113" spans="1:27" ht="12.75" customHeight="1" x14ac:dyDescent="0.2">
      <c r="A113" s="1"/>
      <c r="B113" s="13" t="s">
        <v>43</v>
      </c>
      <c r="C113" s="57">
        <f>$I91*F70</f>
        <v>0</v>
      </c>
      <c r="D113" s="57">
        <f>(I91*G70)/1000</f>
        <v>0</v>
      </c>
      <c r="E113" s="57">
        <f>I91*H70</f>
        <v>0</v>
      </c>
      <c r="F113" s="109">
        <f>I91*I70</f>
        <v>0</v>
      </c>
      <c r="G113" s="59">
        <f>$I91*J70</f>
        <v>0</v>
      </c>
      <c r="H113" s="134"/>
      <c r="I113" s="1"/>
      <c r="J113" s="1"/>
      <c r="K113" s="1"/>
      <c r="L113" s="1"/>
      <c r="M113" s="1"/>
      <c r="N113" s="1"/>
      <c r="O113" s="1"/>
      <c r="P113" s="1"/>
      <c r="Q113" s="1"/>
      <c r="R113" s="1"/>
      <c r="S113" s="1"/>
      <c r="T113" s="1"/>
      <c r="U113" s="1"/>
      <c r="V113" s="1"/>
      <c r="W113" s="1"/>
      <c r="X113" s="1"/>
      <c r="Y113" s="1"/>
      <c r="Z113" s="1"/>
      <c r="AA113" s="1"/>
    </row>
    <row r="114" spans="1:27" ht="12.75" customHeight="1" x14ac:dyDescent="0.2">
      <c r="A114" s="1"/>
      <c r="B114" s="13" t="s">
        <v>45</v>
      </c>
      <c r="C114" s="57">
        <f>$I92*F71</f>
        <v>0</v>
      </c>
      <c r="D114" s="57">
        <f>(I92*G71)/1000</f>
        <v>0</v>
      </c>
      <c r="E114" s="57">
        <f>I92*H71</f>
        <v>0</v>
      </c>
      <c r="F114" s="109">
        <f>I92*I71</f>
        <v>0</v>
      </c>
      <c r="G114" s="59">
        <f>$I92*J71</f>
        <v>0</v>
      </c>
      <c r="H114" s="134"/>
      <c r="I114" s="1"/>
      <c r="J114" s="1"/>
      <c r="K114" s="1"/>
      <c r="L114" s="1"/>
      <c r="M114" s="1"/>
      <c r="N114" s="1"/>
      <c r="O114" s="1"/>
      <c r="P114" s="1"/>
      <c r="Q114" s="1"/>
      <c r="R114" s="1"/>
      <c r="S114" s="1"/>
      <c r="T114" s="1"/>
      <c r="U114" s="1"/>
      <c r="V114" s="1"/>
      <c r="W114" s="1"/>
      <c r="X114" s="1"/>
      <c r="Y114" s="1"/>
      <c r="Z114" s="1"/>
      <c r="AA114" s="1"/>
    </row>
    <row r="115" spans="1:27" ht="12.75" customHeight="1" x14ac:dyDescent="0.2">
      <c r="A115" s="1"/>
      <c r="B115" s="40" t="s">
        <v>18</v>
      </c>
      <c r="C115" s="73" t="e">
        <f t="shared" ref="C115:G115" si="43">SUM(C99:C114)</f>
        <v>#DIV/0!</v>
      </c>
      <c r="D115" s="73" t="e">
        <f t="shared" si="43"/>
        <v>#DIV/0!</v>
      </c>
      <c r="E115" s="73" t="e">
        <f t="shared" si="43"/>
        <v>#DIV/0!</v>
      </c>
      <c r="F115" s="73" t="e">
        <f t="shared" si="43"/>
        <v>#DIV/0!</v>
      </c>
      <c r="G115" s="74" t="e">
        <f t="shared" si="43"/>
        <v>#DIV/0!</v>
      </c>
      <c r="H115" s="134"/>
      <c r="I115" s="1"/>
      <c r="J115" s="1"/>
      <c r="K115" s="1"/>
      <c r="L115" s="1"/>
      <c r="M115" s="1"/>
      <c r="N115" s="1"/>
      <c r="O115" s="1"/>
      <c r="P115" s="1"/>
      <c r="Q115" s="1"/>
      <c r="R115" s="1"/>
      <c r="S115" s="1"/>
      <c r="T115" s="1"/>
      <c r="U115" s="1"/>
      <c r="V115" s="1"/>
      <c r="W115" s="1"/>
      <c r="X115" s="1"/>
      <c r="Y115" s="1"/>
      <c r="Z115" s="1"/>
      <c r="AA115" s="1"/>
    </row>
    <row r="116" spans="1:27" ht="12.75" customHeight="1" x14ac:dyDescent="0.2">
      <c r="A116" s="1"/>
      <c r="B116" s="1"/>
      <c r="C116" s="1"/>
      <c r="D116" s="1"/>
      <c r="E116" s="1"/>
      <c r="F116" s="162" t="s">
        <v>115</v>
      </c>
      <c r="G116" s="63" t="e">
        <f>G115/I93</f>
        <v>#DIV/0!</v>
      </c>
      <c r="H116" s="1"/>
      <c r="I116" s="1"/>
      <c r="J116" s="1"/>
      <c r="K116" s="1"/>
      <c r="L116" s="1"/>
      <c r="M116" s="1"/>
      <c r="N116" s="1"/>
      <c r="O116" s="1"/>
      <c r="P116" s="1"/>
      <c r="Q116" s="1"/>
      <c r="R116" s="1"/>
      <c r="S116" s="1"/>
      <c r="T116" s="1"/>
      <c r="U116" s="1"/>
      <c r="V116" s="1"/>
      <c r="W116" s="1"/>
      <c r="X116" s="1"/>
      <c r="Y116" s="1"/>
      <c r="Z116" s="1"/>
      <c r="AA116" s="1"/>
    </row>
    <row r="117" spans="1:27" ht="12.75" customHeight="1" x14ac:dyDescent="0.2">
      <c r="A117" s="1"/>
      <c r="B117" s="1"/>
      <c r="C117" s="1"/>
      <c r="D117" s="1"/>
      <c r="E117" s="1"/>
      <c r="F117" s="19"/>
      <c r="G117" s="47"/>
      <c r="H117" s="1"/>
      <c r="I117" s="1"/>
      <c r="J117" s="1"/>
      <c r="K117" s="1"/>
      <c r="L117" s="1"/>
      <c r="M117" s="1"/>
      <c r="N117" s="1"/>
      <c r="O117" s="1"/>
      <c r="P117" s="1"/>
      <c r="Q117" s="1"/>
      <c r="R117" s="1"/>
      <c r="S117" s="1"/>
      <c r="T117" s="1"/>
      <c r="U117" s="1"/>
      <c r="V117" s="1"/>
      <c r="W117" s="1"/>
      <c r="X117" s="1"/>
      <c r="Y117" s="1"/>
      <c r="Z117" s="1"/>
      <c r="AA117" s="1"/>
    </row>
    <row r="118" spans="1:27" ht="19.5" customHeight="1" x14ac:dyDescent="0.2">
      <c r="A118" s="255" t="s">
        <v>188</v>
      </c>
      <c r="B118" s="1"/>
      <c r="C118" s="1"/>
      <c r="D118" s="1"/>
      <c r="E118" s="1"/>
      <c r="F118" s="1"/>
      <c r="G118" s="1"/>
      <c r="H118" s="163"/>
      <c r="I118" s="1"/>
      <c r="J118" s="1"/>
      <c r="K118" s="1"/>
      <c r="L118" s="1"/>
      <c r="M118" s="1"/>
      <c r="N118" s="1"/>
      <c r="O118" s="1"/>
      <c r="P118" s="1"/>
      <c r="Q118" s="1"/>
      <c r="R118" s="1"/>
      <c r="S118" s="1"/>
      <c r="T118" s="1"/>
      <c r="U118" s="1"/>
      <c r="V118" s="1"/>
      <c r="W118" s="1"/>
      <c r="X118" s="1"/>
      <c r="Y118" s="1"/>
      <c r="Z118" s="1"/>
      <c r="AA118" s="1"/>
    </row>
    <row r="119" spans="1:27" ht="21" customHeight="1" x14ac:dyDescent="0.2">
      <c r="A119" s="1"/>
      <c r="B119" s="22" t="str">
        <f>"Table T1. Tax Impacts of Direct Sales and Income (" &amp;L8&amp; " 000's)"</f>
        <v>Table T1. Tax Impacts of Direct Sales and Income ($ 000's)</v>
      </c>
      <c r="C119" s="164"/>
      <c r="D119" s="165"/>
      <c r="E119" s="165"/>
      <c r="F119" s="165"/>
      <c r="G119" s="165"/>
      <c r="H119" s="165"/>
      <c r="I119" s="165"/>
      <c r="J119" s="166"/>
      <c r="K119" s="1"/>
      <c r="L119" s="1"/>
      <c r="M119" s="1"/>
      <c r="N119" s="1"/>
      <c r="O119" s="1"/>
      <c r="P119" s="1"/>
      <c r="Q119" s="1"/>
      <c r="R119" s="1"/>
      <c r="S119" s="1"/>
      <c r="T119" s="1"/>
      <c r="U119" s="1"/>
      <c r="V119" s="1"/>
      <c r="W119" s="1"/>
      <c r="X119" s="1"/>
      <c r="Y119" s="1"/>
      <c r="Z119" s="1"/>
      <c r="AA119" s="1"/>
    </row>
    <row r="120" spans="1:27" ht="16.5" customHeight="1" x14ac:dyDescent="0.2">
      <c r="A120" s="1"/>
      <c r="B120" s="167"/>
      <c r="C120" s="1"/>
      <c r="D120" s="273" t="s">
        <v>116</v>
      </c>
      <c r="E120" s="274"/>
      <c r="F120" s="274"/>
      <c r="G120" s="19" t="s">
        <v>117</v>
      </c>
      <c r="H120" s="1"/>
      <c r="I120" s="1"/>
      <c r="J120" s="120" t="s">
        <v>69</v>
      </c>
      <c r="K120" s="1"/>
      <c r="L120" s="1"/>
      <c r="M120" s="1"/>
      <c r="N120" s="1"/>
      <c r="O120" s="1"/>
      <c r="P120" s="1"/>
      <c r="Q120" s="1"/>
      <c r="R120" s="1"/>
      <c r="S120" s="1"/>
      <c r="T120" s="1"/>
      <c r="U120" s="1"/>
      <c r="V120" s="1"/>
      <c r="W120" s="1"/>
      <c r="X120" s="1"/>
      <c r="Y120" s="1"/>
      <c r="Z120" s="1"/>
      <c r="AA120" s="1"/>
    </row>
    <row r="121" spans="1:27" ht="15.75" customHeight="1" x14ac:dyDescent="0.2">
      <c r="A121" s="1"/>
      <c r="B121" s="130" t="s">
        <v>118</v>
      </c>
      <c r="C121" s="168" t="s">
        <v>119</v>
      </c>
      <c r="D121" s="169" t="s">
        <v>120</v>
      </c>
      <c r="E121" s="169" t="s">
        <v>121</v>
      </c>
      <c r="F121" s="170" t="s">
        <v>122</v>
      </c>
      <c r="G121" s="169" t="s">
        <v>120</v>
      </c>
      <c r="H121" s="169" t="s">
        <v>121</v>
      </c>
      <c r="I121" s="170" t="s">
        <v>122</v>
      </c>
      <c r="J121" s="171" t="s">
        <v>18</v>
      </c>
      <c r="K121" s="1"/>
      <c r="L121" s="1"/>
      <c r="M121" s="1"/>
      <c r="N121" s="1"/>
      <c r="O121" s="1"/>
      <c r="P121" s="1"/>
      <c r="Q121" s="1"/>
      <c r="R121" s="1"/>
      <c r="S121" s="1"/>
      <c r="T121" s="1"/>
      <c r="U121" s="1"/>
      <c r="V121" s="1"/>
      <c r="W121" s="1"/>
      <c r="X121" s="1"/>
      <c r="Y121" s="1"/>
      <c r="Z121" s="1"/>
      <c r="AA121" s="1"/>
    </row>
    <row r="122" spans="1:27" ht="15.75" customHeight="1" x14ac:dyDescent="0.2">
      <c r="A122" s="1"/>
      <c r="B122" s="22" t="str">
        <f t="shared" ref="B122:B135" si="44">B19</f>
        <v>All inclusive packages</v>
      </c>
      <c r="C122" s="25">
        <f t="shared" ref="C122:C136" si="45">O39</f>
        <v>0</v>
      </c>
      <c r="D122" s="172"/>
      <c r="E122" s="172"/>
      <c r="F122" s="172"/>
      <c r="G122" s="25">
        <f t="shared" ref="G122:I122" si="46">D122*$C122</f>
        <v>0</v>
      </c>
      <c r="H122" s="25">
        <f t="shared" si="46"/>
        <v>0</v>
      </c>
      <c r="I122" s="25">
        <f t="shared" si="46"/>
        <v>0</v>
      </c>
      <c r="J122" s="144">
        <f t="shared" ref="J122:J135" si="47">SUM(G122:I122)</f>
        <v>0</v>
      </c>
      <c r="K122" s="1"/>
      <c r="L122" s="1"/>
      <c r="M122" s="1"/>
      <c r="N122" s="1"/>
      <c r="O122" s="1"/>
      <c r="P122" s="1"/>
      <c r="Q122" s="1"/>
      <c r="R122" s="1"/>
      <c r="S122" s="1"/>
      <c r="T122" s="1"/>
      <c r="U122" s="1"/>
      <c r="V122" s="1"/>
      <c r="W122" s="1"/>
      <c r="X122" s="1"/>
      <c r="Y122" s="1"/>
      <c r="Z122" s="1"/>
      <c r="AA122" s="1"/>
    </row>
    <row r="123" spans="1:27" ht="18.75" customHeight="1" x14ac:dyDescent="0.2">
      <c r="A123" s="1"/>
      <c r="B123" s="13" t="str">
        <f t="shared" si="44"/>
        <v>Accomodation: Hotel, lodges, B&amp;B, bushcamps,...</v>
      </c>
      <c r="C123" s="57">
        <f t="shared" si="45"/>
        <v>0</v>
      </c>
      <c r="D123" s="173"/>
      <c r="E123" s="173"/>
      <c r="F123" s="173"/>
      <c r="G123" s="57">
        <f t="shared" ref="G123:I123" si="48">D123*$C123</f>
        <v>0</v>
      </c>
      <c r="H123" s="57">
        <f t="shared" si="48"/>
        <v>0</v>
      </c>
      <c r="I123" s="57">
        <f t="shared" si="48"/>
        <v>0</v>
      </c>
      <c r="J123" s="59">
        <f t="shared" si="47"/>
        <v>0</v>
      </c>
      <c r="K123" s="1"/>
      <c r="L123" s="1"/>
      <c r="M123" s="1"/>
      <c r="N123" s="1"/>
      <c r="O123" s="1"/>
      <c r="P123" s="1"/>
      <c r="Q123" s="1"/>
      <c r="R123" s="1"/>
      <c r="S123" s="1"/>
      <c r="T123" s="1"/>
      <c r="U123" s="1"/>
      <c r="V123" s="1"/>
      <c r="W123" s="1"/>
      <c r="X123" s="1"/>
      <c r="Y123" s="1"/>
      <c r="Z123" s="1"/>
      <c r="AA123" s="1"/>
    </row>
    <row r="124" spans="1:27" ht="15.75" customHeight="1" x14ac:dyDescent="0.2">
      <c r="A124" s="1"/>
      <c r="B124" s="13" t="str">
        <f t="shared" si="44"/>
        <v xml:space="preserve">Camping fees </v>
      </c>
      <c r="C124" s="57">
        <f t="shared" si="45"/>
        <v>0</v>
      </c>
      <c r="D124" s="173"/>
      <c r="E124" s="173"/>
      <c r="F124" s="173"/>
      <c r="G124" s="57">
        <f t="shared" ref="G124:I124" si="49">D124*$C124</f>
        <v>0</v>
      </c>
      <c r="H124" s="57">
        <f t="shared" si="49"/>
        <v>0</v>
      </c>
      <c r="I124" s="57">
        <f t="shared" si="49"/>
        <v>0</v>
      </c>
      <c r="J124" s="59">
        <f t="shared" si="47"/>
        <v>0</v>
      </c>
      <c r="K124" s="1"/>
      <c r="L124" s="1"/>
      <c r="M124" s="1"/>
      <c r="N124" s="1"/>
      <c r="O124" s="1"/>
      <c r="P124" s="1"/>
      <c r="Q124" s="1"/>
      <c r="R124" s="1"/>
      <c r="S124" s="1"/>
      <c r="T124" s="1"/>
      <c r="U124" s="1"/>
      <c r="V124" s="1"/>
      <c r="W124" s="1"/>
      <c r="X124" s="1"/>
      <c r="Y124" s="1"/>
      <c r="Z124" s="1"/>
      <c r="AA124" s="1"/>
    </row>
    <row r="125" spans="1:27" ht="15.75" customHeight="1" x14ac:dyDescent="0.2">
      <c r="A125" s="1"/>
      <c r="B125" s="13" t="str">
        <f t="shared" si="44"/>
        <v>Meals: Restaurants, bars,...</v>
      </c>
      <c r="C125" s="57">
        <f t="shared" si="45"/>
        <v>0</v>
      </c>
      <c r="D125" s="173"/>
      <c r="E125" s="173"/>
      <c r="F125" s="173"/>
      <c r="G125" s="57">
        <f t="shared" ref="G125:I125" si="50">D125*$C125</f>
        <v>0</v>
      </c>
      <c r="H125" s="57">
        <f t="shared" si="50"/>
        <v>0</v>
      </c>
      <c r="I125" s="57">
        <f t="shared" si="50"/>
        <v>0</v>
      </c>
      <c r="J125" s="59">
        <f t="shared" si="47"/>
        <v>0</v>
      </c>
      <c r="K125" s="1"/>
      <c r="L125" s="1"/>
      <c r="M125" s="1"/>
      <c r="N125" s="1"/>
      <c r="O125" s="1"/>
      <c r="P125" s="1"/>
      <c r="Q125" s="1"/>
      <c r="R125" s="1"/>
      <c r="S125" s="1"/>
      <c r="T125" s="1"/>
      <c r="U125" s="1"/>
      <c r="V125" s="1"/>
      <c r="W125" s="1"/>
      <c r="X125" s="1"/>
      <c r="Y125" s="1"/>
      <c r="Z125" s="1"/>
      <c r="AA125" s="1"/>
    </row>
    <row r="126" spans="1:27" ht="15.75" customHeight="1" x14ac:dyDescent="0.2">
      <c r="A126" s="1"/>
      <c r="B126" s="13" t="str">
        <f t="shared" si="44"/>
        <v xml:space="preserve">Groceries, </v>
      </c>
      <c r="C126" s="57">
        <f t="shared" si="45"/>
        <v>0</v>
      </c>
      <c r="D126" s="173"/>
      <c r="E126" s="173"/>
      <c r="F126" s="173"/>
      <c r="G126" s="57">
        <f t="shared" ref="G126:I126" si="51">D126*$C126</f>
        <v>0</v>
      </c>
      <c r="H126" s="57">
        <f t="shared" si="51"/>
        <v>0</v>
      </c>
      <c r="I126" s="57">
        <f t="shared" si="51"/>
        <v>0</v>
      </c>
      <c r="J126" s="59">
        <f t="shared" si="47"/>
        <v>0</v>
      </c>
      <c r="K126" s="1"/>
      <c r="L126" s="1"/>
      <c r="M126" s="1"/>
      <c r="N126" s="1"/>
      <c r="O126" s="1"/>
      <c r="P126" s="1"/>
      <c r="Q126" s="1"/>
      <c r="R126" s="1"/>
      <c r="S126" s="1"/>
      <c r="T126" s="1"/>
      <c r="U126" s="1"/>
      <c r="V126" s="1"/>
      <c r="W126" s="1"/>
      <c r="X126" s="1"/>
      <c r="Y126" s="1"/>
      <c r="Z126" s="1"/>
      <c r="AA126" s="1"/>
    </row>
    <row r="127" spans="1:27" ht="15.75" customHeight="1" x14ac:dyDescent="0.2">
      <c r="A127" s="1"/>
      <c r="B127" s="13" t="str">
        <f t="shared" si="44"/>
        <v xml:space="preserve">Gas &amp; oil </v>
      </c>
      <c r="C127" s="57">
        <f t="shared" si="45"/>
        <v>0</v>
      </c>
      <c r="D127" s="173"/>
      <c r="E127" s="173"/>
      <c r="F127" s="173"/>
      <c r="G127" s="57">
        <f t="shared" ref="G127:I127" si="52">D127*$C127</f>
        <v>0</v>
      </c>
      <c r="H127" s="57">
        <f t="shared" si="52"/>
        <v>0</v>
      </c>
      <c r="I127" s="57">
        <f t="shared" si="52"/>
        <v>0</v>
      </c>
      <c r="J127" s="59">
        <f t="shared" si="47"/>
        <v>0</v>
      </c>
      <c r="K127" s="1"/>
      <c r="L127" s="1"/>
      <c r="M127" s="1"/>
      <c r="N127" s="1"/>
      <c r="O127" s="1"/>
      <c r="P127" s="1"/>
      <c r="Q127" s="1"/>
      <c r="R127" s="1"/>
      <c r="S127" s="1"/>
      <c r="T127" s="1"/>
      <c r="U127" s="1"/>
      <c r="V127" s="1"/>
      <c r="W127" s="1"/>
      <c r="X127" s="1"/>
      <c r="Y127" s="1"/>
      <c r="Z127" s="1"/>
      <c r="AA127" s="1"/>
    </row>
    <row r="128" spans="1:27" ht="15.75" customHeight="1" x14ac:dyDescent="0.2">
      <c r="A128" s="1"/>
      <c r="B128" s="13" t="str">
        <f t="shared" si="44"/>
        <v xml:space="preserve">Local transportation </v>
      </c>
      <c r="C128" s="57">
        <f t="shared" si="45"/>
        <v>0</v>
      </c>
      <c r="D128" s="173"/>
      <c r="E128" s="173"/>
      <c r="F128" s="173"/>
      <c r="G128" s="57">
        <f t="shared" ref="G128:I128" si="53">D128*$C128</f>
        <v>0</v>
      </c>
      <c r="H128" s="57">
        <f t="shared" si="53"/>
        <v>0</v>
      </c>
      <c r="I128" s="57">
        <f t="shared" si="53"/>
        <v>0</v>
      </c>
      <c r="J128" s="59">
        <f t="shared" si="47"/>
        <v>0</v>
      </c>
      <c r="K128" s="1"/>
      <c r="L128" s="1"/>
      <c r="M128" s="1"/>
      <c r="N128" s="1"/>
      <c r="O128" s="1"/>
      <c r="P128" s="1"/>
      <c r="Q128" s="1"/>
      <c r="R128" s="1"/>
      <c r="S128" s="1"/>
      <c r="T128" s="1"/>
      <c r="U128" s="1"/>
      <c r="V128" s="1"/>
      <c r="W128" s="1"/>
      <c r="X128" s="1"/>
      <c r="Y128" s="1"/>
      <c r="Z128" s="1"/>
      <c r="AA128" s="1"/>
    </row>
    <row r="129" spans="1:27" ht="15.75" customHeight="1" x14ac:dyDescent="0.2">
      <c r="A129" s="1"/>
      <c r="B129" s="13" t="str">
        <f t="shared" si="44"/>
        <v>Admissions &amp; fees (PA entry)</v>
      </c>
      <c r="C129" s="57">
        <f t="shared" si="45"/>
        <v>0</v>
      </c>
      <c r="D129" s="173"/>
      <c r="E129" s="173"/>
      <c r="F129" s="173"/>
      <c r="G129" s="57">
        <f t="shared" ref="G129:I129" si="54">D129*$C129</f>
        <v>0</v>
      </c>
      <c r="H129" s="57">
        <f t="shared" si="54"/>
        <v>0</v>
      </c>
      <c r="I129" s="57">
        <f t="shared" si="54"/>
        <v>0</v>
      </c>
      <c r="J129" s="59">
        <f t="shared" si="47"/>
        <v>0</v>
      </c>
      <c r="K129" s="1"/>
      <c r="L129" s="1"/>
      <c r="M129" s="1"/>
      <c r="N129" s="1"/>
      <c r="O129" s="1"/>
      <c r="P129" s="1"/>
      <c r="Q129" s="1"/>
      <c r="R129" s="1"/>
      <c r="S129" s="1"/>
      <c r="T129" s="1"/>
      <c r="U129" s="1"/>
      <c r="V129" s="1"/>
      <c r="W129" s="1"/>
      <c r="X129" s="1"/>
      <c r="Y129" s="1"/>
      <c r="Z129" s="1"/>
      <c r="AA129" s="1"/>
    </row>
    <row r="130" spans="1:27" ht="15.75" customHeight="1" x14ac:dyDescent="0.2">
      <c r="A130" s="1"/>
      <c r="B130" s="13" t="str">
        <f t="shared" si="44"/>
        <v>Activities and Guided Tours (e.g. game drives)</v>
      </c>
      <c r="C130" s="57">
        <f t="shared" si="45"/>
        <v>0</v>
      </c>
      <c r="D130" s="173"/>
      <c r="E130" s="173"/>
      <c r="F130" s="173"/>
      <c r="G130" s="57">
        <f t="shared" ref="G130:I130" si="55">D130*$C130</f>
        <v>0</v>
      </c>
      <c r="H130" s="57">
        <f t="shared" si="55"/>
        <v>0</v>
      </c>
      <c r="I130" s="57">
        <f t="shared" si="55"/>
        <v>0</v>
      </c>
      <c r="J130" s="59">
        <f t="shared" si="47"/>
        <v>0</v>
      </c>
      <c r="K130" s="1"/>
      <c r="L130" s="1"/>
      <c r="M130" s="1"/>
      <c r="N130" s="1"/>
      <c r="O130" s="1"/>
      <c r="P130" s="1"/>
      <c r="Q130" s="1"/>
      <c r="R130" s="1"/>
      <c r="S130" s="1"/>
      <c r="T130" s="1"/>
      <c r="U130" s="1"/>
      <c r="V130" s="1"/>
      <c r="W130" s="1"/>
      <c r="X130" s="1"/>
      <c r="Y130" s="1"/>
      <c r="Z130" s="1"/>
      <c r="AA130" s="1"/>
    </row>
    <row r="131" spans="1:27" ht="15.75" customHeight="1" x14ac:dyDescent="0.2">
      <c r="A131" s="1"/>
      <c r="B131" s="13" t="str">
        <f t="shared" si="44"/>
        <v>Souvenirs and other gifts</v>
      </c>
      <c r="C131" s="57">
        <f t="shared" si="45"/>
        <v>0</v>
      </c>
      <c r="D131" s="173"/>
      <c r="E131" s="173"/>
      <c r="F131" s="173"/>
      <c r="G131" s="57">
        <f t="shared" ref="G131:I131" si="56">D131*$C131</f>
        <v>0</v>
      </c>
      <c r="H131" s="57">
        <f t="shared" si="56"/>
        <v>0</v>
      </c>
      <c r="I131" s="57">
        <f t="shared" si="56"/>
        <v>0</v>
      </c>
      <c r="J131" s="59">
        <f t="shared" si="47"/>
        <v>0</v>
      </c>
      <c r="K131" s="1"/>
      <c r="L131" s="1"/>
      <c r="M131" s="1"/>
      <c r="N131" s="1"/>
      <c r="O131" s="1"/>
      <c r="P131" s="1"/>
      <c r="Q131" s="1"/>
      <c r="R131" s="1"/>
      <c r="S131" s="1"/>
      <c r="T131" s="1"/>
      <c r="U131" s="1"/>
      <c r="V131" s="1"/>
      <c r="W131" s="1"/>
      <c r="X131" s="1"/>
      <c r="Y131" s="1"/>
      <c r="Z131" s="1"/>
      <c r="AA131" s="1"/>
    </row>
    <row r="132" spans="1:27" ht="15.75" customHeight="1" x14ac:dyDescent="0.2">
      <c r="A132" s="1"/>
      <c r="B132" s="13" t="str">
        <f t="shared" si="44"/>
        <v>Resource/Trophy Fees (purchase of resource, license, permits)</v>
      </c>
      <c r="C132" s="57">
        <f t="shared" si="45"/>
        <v>0</v>
      </c>
      <c r="D132" s="173"/>
      <c r="E132" s="173"/>
      <c r="F132" s="173"/>
      <c r="G132" s="57">
        <f t="shared" ref="G132:I132" si="57">D132*$C132</f>
        <v>0</v>
      </c>
      <c r="H132" s="57">
        <f t="shared" si="57"/>
        <v>0</v>
      </c>
      <c r="I132" s="57">
        <f t="shared" si="57"/>
        <v>0</v>
      </c>
      <c r="J132" s="59">
        <f t="shared" si="47"/>
        <v>0</v>
      </c>
      <c r="K132" s="1"/>
      <c r="L132" s="1"/>
      <c r="M132" s="1"/>
      <c r="N132" s="1"/>
      <c r="O132" s="1"/>
      <c r="P132" s="1"/>
      <c r="Q132" s="1"/>
      <c r="R132" s="1"/>
      <c r="S132" s="1"/>
      <c r="T132" s="1"/>
      <c r="U132" s="1"/>
      <c r="V132" s="1"/>
      <c r="W132" s="1"/>
      <c r="X132" s="1"/>
      <c r="Y132" s="1"/>
      <c r="Z132" s="1"/>
      <c r="AA132" s="1"/>
    </row>
    <row r="133" spans="1:27" ht="15.75" customHeight="1" x14ac:dyDescent="0.2">
      <c r="A133" s="1"/>
      <c r="B133" s="13" t="str">
        <f t="shared" si="44"/>
        <v>Local dip, pack, taxidermy</v>
      </c>
      <c r="C133" s="57">
        <f t="shared" si="45"/>
        <v>0</v>
      </c>
      <c r="D133" s="173"/>
      <c r="E133" s="173"/>
      <c r="F133" s="173"/>
      <c r="G133" s="57">
        <f t="shared" ref="G133:I133" si="58">D133*$C133</f>
        <v>0</v>
      </c>
      <c r="H133" s="57">
        <f t="shared" si="58"/>
        <v>0</v>
      </c>
      <c r="I133" s="57">
        <f t="shared" si="58"/>
        <v>0</v>
      </c>
      <c r="J133" s="59">
        <f t="shared" si="47"/>
        <v>0</v>
      </c>
      <c r="K133" s="1"/>
      <c r="L133" s="1"/>
      <c r="M133" s="1"/>
      <c r="N133" s="1"/>
      <c r="O133" s="1"/>
      <c r="P133" s="1"/>
      <c r="Q133" s="1"/>
      <c r="R133" s="1"/>
      <c r="S133" s="1"/>
      <c r="T133" s="1"/>
      <c r="U133" s="1"/>
      <c r="V133" s="1"/>
      <c r="W133" s="1"/>
      <c r="X133" s="1"/>
      <c r="Y133" s="1"/>
      <c r="Z133" s="1"/>
      <c r="AA133" s="1"/>
    </row>
    <row r="134" spans="1:27" ht="15.75" customHeight="1" x14ac:dyDescent="0.2">
      <c r="A134" s="1"/>
      <c r="B134" s="13" t="str">
        <f t="shared" si="44"/>
        <v>Gratuities and Tips</v>
      </c>
      <c r="C134" s="57">
        <f t="shared" si="45"/>
        <v>0</v>
      </c>
      <c r="D134" s="173"/>
      <c r="E134" s="173"/>
      <c r="F134" s="173"/>
      <c r="G134" s="57">
        <f t="shared" ref="G134:I134" si="59">D134*$C134</f>
        <v>0</v>
      </c>
      <c r="H134" s="57">
        <f t="shared" si="59"/>
        <v>0</v>
      </c>
      <c r="I134" s="57">
        <f t="shared" si="59"/>
        <v>0</v>
      </c>
      <c r="J134" s="59">
        <f t="shared" si="47"/>
        <v>0</v>
      </c>
      <c r="K134" s="1"/>
      <c r="L134" s="1"/>
      <c r="M134" s="1"/>
      <c r="N134" s="1"/>
      <c r="O134" s="1"/>
      <c r="P134" s="1"/>
      <c r="Q134" s="1"/>
      <c r="R134" s="1"/>
      <c r="S134" s="1"/>
      <c r="T134" s="1"/>
      <c r="U134" s="1"/>
      <c r="V134" s="1"/>
      <c r="W134" s="1"/>
      <c r="X134" s="1"/>
      <c r="Y134" s="1"/>
      <c r="Z134" s="1"/>
      <c r="AA134" s="1"/>
    </row>
    <row r="135" spans="1:27" ht="15.75" customHeight="1" x14ac:dyDescent="0.2">
      <c r="A135" s="1"/>
      <c r="B135" s="13" t="str">
        <f t="shared" si="44"/>
        <v>Other expenses</v>
      </c>
      <c r="C135" s="57">
        <f t="shared" si="45"/>
        <v>0</v>
      </c>
      <c r="D135" s="173"/>
      <c r="E135" s="173"/>
      <c r="F135" s="173"/>
      <c r="G135" s="57">
        <f t="shared" ref="G135:I135" si="60">D135*$C135</f>
        <v>0</v>
      </c>
      <c r="H135" s="57">
        <f t="shared" si="60"/>
        <v>0</v>
      </c>
      <c r="I135" s="57">
        <f t="shared" si="60"/>
        <v>0</v>
      </c>
      <c r="J135" s="59">
        <f t="shared" si="47"/>
        <v>0</v>
      </c>
      <c r="K135" s="1"/>
      <c r="L135" s="1"/>
      <c r="M135" s="1"/>
      <c r="N135" s="1"/>
      <c r="O135" s="1"/>
      <c r="P135" s="1"/>
      <c r="Q135" s="1"/>
      <c r="R135" s="1"/>
      <c r="S135" s="1"/>
      <c r="T135" s="1"/>
      <c r="U135" s="1"/>
      <c r="V135" s="1"/>
      <c r="W135" s="1"/>
      <c r="X135" s="1"/>
      <c r="Y135" s="1"/>
      <c r="Z135" s="1"/>
      <c r="AA135" s="1"/>
    </row>
    <row r="136" spans="1:27" ht="15.75" customHeight="1" x14ac:dyDescent="0.2">
      <c r="A136" s="1"/>
      <c r="B136" s="40" t="s">
        <v>123</v>
      </c>
      <c r="C136" s="73">
        <f t="shared" si="45"/>
        <v>0</v>
      </c>
      <c r="D136" s="174"/>
      <c r="E136" s="174"/>
      <c r="F136" s="174"/>
      <c r="G136" s="73">
        <f t="shared" ref="G136:J136" si="61">SUM(G122:G135)</f>
        <v>0</v>
      </c>
      <c r="H136" s="73">
        <f t="shared" si="61"/>
        <v>0</v>
      </c>
      <c r="I136" s="73">
        <f t="shared" si="61"/>
        <v>0</v>
      </c>
      <c r="J136" s="74">
        <f t="shared" si="61"/>
        <v>0</v>
      </c>
      <c r="K136" s="1"/>
      <c r="L136" s="1"/>
      <c r="M136" s="1"/>
      <c r="N136" s="1"/>
      <c r="O136" s="1"/>
      <c r="P136" s="1"/>
      <c r="Q136" s="1"/>
      <c r="R136" s="1"/>
      <c r="S136" s="1"/>
      <c r="T136" s="1"/>
      <c r="U136" s="1"/>
      <c r="V136" s="1"/>
      <c r="W136" s="1"/>
      <c r="X136" s="1"/>
      <c r="Y136" s="1"/>
      <c r="Z136" s="1"/>
      <c r="AA136" s="1"/>
    </row>
    <row r="137" spans="1:27" ht="15.75" customHeight="1" x14ac:dyDescent="0.2">
      <c r="A137" s="1"/>
      <c r="B137" s="175" t="s">
        <v>124</v>
      </c>
      <c r="C137" s="122" t="e">
        <f>K93</f>
        <v>#DIV/0!</v>
      </c>
      <c r="D137" s="176">
        <v>0.37</v>
      </c>
      <c r="E137" s="177"/>
      <c r="F137" s="176"/>
      <c r="G137" s="122" t="e">
        <f t="shared" ref="G137:I137" si="62">D137*$C137</f>
        <v>#DIV/0!</v>
      </c>
      <c r="H137" s="122" t="e">
        <f t="shared" si="62"/>
        <v>#DIV/0!</v>
      </c>
      <c r="I137" s="122" t="e">
        <f t="shared" si="62"/>
        <v>#DIV/0!</v>
      </c>
      <c r="J137" s="123" t="e">
        <f>G137+H137+I137</f>
        <v>#DIV/0!</v>
      </c>
      <c r="K137" s="1"/>
      <c r="L137" s="1"/>
      <c r="M137" s="1"/>
      <c r="N137" s="1"/>
      <c r="O137" s="1"/>
      <c r="P137" s="1"/>
      <c r="Q137" s="1"/>
      <c r="R137" s="1"/>
      <c r="S137" s="1"/>
      <c r="T137" s="1"/>
      <c r="U137" s="1"/>
      <c r="V137" s="1"/>
      <c r="W137" s="1"/>
      <c r="X137" s="1"/>
      <c r="Y137" s="1"/>
      <c r="Z137" s="1"/>
      <c r="AA137" s="1"/>
    </row>
    <row r="138" spans="1:27" ht="15.75" customHeight="1" x14ac:dyDescent="0.2">
      <c r="A138" s="1"/>
      <c r="B138" s="175" t="s">
        <v>125</v>
      </c>
      <c r="C138" s="178"/>
      <c r="D138" s="178"/>
      <c r="E138" s="178"/>
      <c r="F138" s="178"/>
      <c r="G138" s="122" t="e">
        <f t="shared" ref="G138:J138" si="63">G136+G137</f>
        <v>#DIV/0!</v>
      </c>
      <c r="H138" s="122" t="e">
        <f t="shared" si="63"/>
        <v>#DIV/0!</v>
      </c>
      <c r="I138" s="122" t="e">
        <f t="shared" si="63"/>
        <v>#DIV/0!</v>
      </c>
      <c r="J138" s="123" t="e">
        <f t="shared" si="63"/>
        <v>#DIV/0!</v>
      </c>
      <c r="K138" s="1"/>
      <c r="L138" s="1"/>
      <c r="M138" s="1"/>
      <c r="N138" s="1"/>
      <c r="O138" s="1"/>
      <c r="P138" s="1"/>
      <c r="Q138" s="1"/>
      <c r="R138" s="1"/>
      <c r="S138" s="1"/>
      <c r="T138" s="1"/>
      <c r="U138" s="1"/>
      <c r="V138" s="1"/>
      <c r="W138" s="1"/>
      <c r="X138" s="1"/>
      <c r="Y138" s="1"/>
      <c r="Z138" s="1"/>
      <c r="AA138" s="1"/>
    </row>
    <row r="139" spans="1:27" ht="15.75" customHeight="1" x14ac:dyDescent="0.2">
      <c r="A139" s="1"/>
      <c r="B139" s="19" t="s">
        <v>126</v>
      </c>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5.75" customHeight="1" x14ac:dyDescent="0.2">
      <c r="A140" s="1"/>
      <c r="B140" s="19" t="s">
        <v>127</v>
      </c>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5.75" customHeight="1" x14ac:dyDescent="0.2">
      <c r="A141" s="1"/>
      <c r="B141" s="19" t="s">
        <v>128</v>
      </c>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5.75" customHeight="1" x14ac:dyDescent="0.2">
      <c r="A144" s="1"/>
      <c r="B144" s="2"/>
      <c r="C144" s="2"/>
      <c r="D144" s="2"/>
      <c r="E144" s="2"/>
      <c r="F144" s="1"/>
      <c r="G144" s="1"/>
      <c r="H144" s="1"/>
      <c r="I144" s="1"/>
      <c r="J144" s="1"/>
      <c r="K144" s="1"/>
      <c r="L144" s="1"/>
      <c r="M144" s="1"/>
      <c r="N144" s="1"/>
      <c r="O144" s="1"/>
      <c r="P144" s="1"/>
      <c r="Q144" s="1"/>
      <c r="R144" s="1"/>
      <c r="S144" s="1"/>
      <c r="T144" s="1"/>
      <c r="U144" s="1"/>
      <c r="V144" s="1"/>
      <c r="W144" s="1"/>
      <c r="X144" s="1"/>
      <c r="Y144" s="1"/>
      <c r="Z144" s="1"/>
      <c r="AA144" s="1"/>
    </row>
    <row r="145" spans="1:27" ht="15.75" customHeight="1" x14ac:dyDescent="0.2">
      <c r="A145" s="1"/>
      <c r="B145" s="136"/>
      <c r="C145" s="2"/>
      <c r="D145" s="2"/>
      <c r="E145" s="125"/>
      <c r="F145" s="1"/>
      <c r="G145" s="1"/>
      <c r="H145" s="1"/>
      <c r="I145" s="1"/>
      <c r="J145" s="1"/>
      <c r="K145" s="1"/>
      <c r="L145" s="1"/>
      <c r="M145" s="1"/>
      <c r="N145" s="1"/>
      <c r="O145" s="1"/>
      <c r="P145" s="1"/>
      <c r="Q145" s="1"/>
      <c r="R145" s="1"/>
      <c r="S145" s="1"/>
      <c r="T145" s="1"/>
      <c r="U145" s="1"/>
      <c r="V145" s="1"/>
      <c r="W145" s="1"/>
      <c r="X145" s="1"/>
      <c r="Y145" s="1"/>
      <c r="Z145" s="1"/>
      <c r="AA145" s="1"/>
    </row>
    <row r="146" spans="1:27" ht="15.75" customHeight="1" x14ac:dyDescent="0.2">
      <c r="A146" s="1"/>
      <c r="B146" s="2"/>
      <c r="C146" s="2"/>
      <c r="D146" s="2"/>
      <c r="E146" s="2"/>
      <c r="F146" s="1"/>
      <c r="G146" s="1"/>
      <c r="H146" s="1"/>
      <c r="I146" s="1"/>
      <c r="J146" s="1"/>
      <c r="K146" s="1"/>
      <c r="L146" s="1"/>
      <c r="M146" s="1"/>
      <c r="N146" s="1"/>
      <c r="O146" s="1"/>
      <c r="P146" s="1"/>
      <c r="Q146" s="1"/>
      <c r="R146" s="1"/>
      <c r="S146" s="1"/>
      <c r="T146" s="1"/>
      <c r="U146" s="1"/>
      <c r="V146" s="1"/>
      <c r="W146" s="1"/>
      <c r="X146" s="1"/>
      <c r="Y146" s="1"/>
      <c r="Z146" s="1"/>
      <c r="AA146" s="1"/>
    </row>
    <row r="147" spans="1:27"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5.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5.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5.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sheetData>
  <mergeCells count="11">
    <mergeCell ref="C2:G2"/>
    <mergeCell ref="C58:F58"/>
    <mergeCell ref="G58:J58"/>
    <mergeCell ref="C75:L75"/>
    <mergeCell ref="D120:F120"/>
    <mergeCell ref="C97:G97"/>
    <mergeCell ref="C5:F5"/>
    <mergeCell ref="C8:G8"/>
    <mergeCell ref="C4:I4"/>
    <mergeCell ref="C7:D7"/>
    <mergeCell ref="C9:D9"/>
  </mergeCells>
  <dataValidations count="2">
    <dataValidation type="list" allowBlank="1" sqref="J8">
      <formula1>"Bed-nights,Party-nights"</formula1>
    </dataValidation>
    <dataValidation type="list" allowBlank="1" showInputMessage="1" showErrorMessage="1" sqref="C7:D7">
      <formula1>Country</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MULTIPLIERS!$K$2:$K$6</xm:f>
          </x14:formula1>
          <xm:sqref>C9:D9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00"/>
  <sheetViews>
    <sheetView zoomScale="120" zoomScaleNormal="120" zoomScalePageLayoutView="120" workbookViewId="0">
      <selection activeCell="J124" sqref="J124"/>
    </sheetView>
  </sheetViews>
  <sheetFormatPr baseColWidth="10" defaultColWidth="13.5" defaultRowHeight="15" customHeight="1" x14ac:dyDescent="0.2"/>
  <cols>
    <col min="1" max="26" width="10.5" customWidth="1"/>
  </cols>
  <sheetData>
    <row r="1" spans="10:10" ht="15.75" customHeight="1" x14ac:dyDescent="0.2"/>
    <row r="2" spans="10:10" ht="15.75" customHeight="1" x14ac:dyDescent="0.2"/>
    <row r="3" spans="10:10" ht="15.75" customHeight="1" x14ac:dyDescent="0.2"/>
    <row r="4" spans="10:10" ht="15.75" customHeight="1" x14ac:dyDescent="0.2">
      <c r="J4" s="71" t="s">
        <v>46</v>
      </c>
    </row>
    <row r="5" spans="10:10" ht="15.75" customHeight="1" x14ac:dyDescent="0.2"/>
    <row r="6" spans="10:10" ht="15.75" customHeight="1" x14ac:dyDescent="0.2"/>
    <row r="7" spans="10:10" ht="15.75" customHeight="1" x14ac:dyDescent="0.2"/>
    <row r="8" spans="10:10" ht="15.75" customHeight="1" x14ac:dyDescent="0.2"/>
    <row r="9" spans="10:10" ht="15.75" customHeight="1" x14ac:dyDescent="0.2"/>
    <row r="10" spans="10:10" ht="15.75" customHeight="1" x14ac:dyDescent="0.2"/>
    <row r="11" spans="10:10" ht="15.75" customHeight="1" x14ac:dyDescent="0.2"/>
    <row r="12" spans="10:10" ht="15.75" customHeight="1" x14ac:dyDescent="0.2"/>
    <row r="13" spans="10:10" ht="15.75" customHeight="1" x14ac:dyDescent="0.2"/>
    <row r="14" spans="10:10" ht="15.75" customHeight="1" x14ac:dyDescent="0.2"/>
    <row r="15" spans="10:10" ht="15.75" customHeight="1" x14ac:dyDescent="0.2"/>
    <row r="16" spans="10:10"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spans="2:5" ht="15.75" customHeight="1" x14ac:dyDescent="0.2"/>
    <row r="98" spans="2:5" ht="15.75" customHeight="1" x14ac:dyDescent="0.2"/>
    <row r="99" spans="2:5" ht="15.75" customHeight="1" x14ac:dyDescent="0.2"/>
    <row r="100" spans="2:5" ht="15.75" customHeight="1" x14ac:dyDescent="0.2"/>
    <row r="101" spans="2:5" ht="15.75" customHeight="1" x14ac:dyDescent="0.2"/>
    <row r="102" spans="2:5" ht="15.75" customHeight="1" x14ac:dyDescent="0.2"/>
    <row r="103" spans="2:5" ht="15.75" customHeight="1" x14ac:dyDescent="0.2"/>
    <row r="104" spans="2:5" ht="15.75" customHeight="1" x14ac:dyDescent="0.2"/>
    <row r="105" spans="2:5" ht="15.75" customHeight="1" x14ac:dyDescent="0.2"/>
    <row r="106" spans="2:5" ht="15.75" customHeight="1" x14ac:dyDescent="0.2"/>
    <row r="107" spans="2:5" ht="15.75" customHeight="1" x14ac:dyDescent="0.2"/>
    <row r="108" spans="2:5" ht="15.75" customHeight="1" x14ac:dyDescent="0.2">
      <c r="B108" s="194" t="s">
        <v>195</v>
      </c>
    </row>
    <row r="109" spans="2:5" ht="15.75" customHeight="1" x14ac:dyDescent="0.2">
      <c r="C109" s="194" t="s">
        <v>113</v>
      </c>
      <c r="D109" s="194" t="s">
        <v>197</v>
      </c>
      <c r="E109" s="194" t="s">
        <v>196</v>
      </c>
    </row>
    <row r="110" spans="2:5" ht="15.75" customHeight="1" x14ac:dyDescent="0.2">
      <c r="C110" s="262" t="e">
        <f>SUMMARY!E42*1000</f>
        <v>#DIV/0!</v>
      </c>
      <c r="D110" s="262" t="e">
        <f>SUMMARY!C42*1000</f>
        <v>#DIV/0!</v>
      </c>
      <c r="E110" s="263">
        <v>3000000</v>
      </c>
    </row>
    <row r="111" spans="2:5" ht="15.75" customHeight="1" x14ac:dyDescent="0.2"/>
    <row r="112" spans="2:5"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sheet="1" objects="1" scenario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5"/>
  <sheetViews>
    <sheetView showGridLines="0" tabSelected="1" topLeftCell="A44" workbookViewId="0">
      <selection activeCell="I43" sqref="I43"/>
    </sheetView>
  </sheetViews>
  <sheetFormatPr baseColWidth="10" defaultColWidth="13.5" defaultRowHeight="15" customHeight="1" x14ac:dyDescent="0.2"/>
  <cols>
    <col min="1" max="1" width="4.1640625" customWidth="1"/>
    <col min="2" max="2" width="25.33203125" customWidth="1"/>
    <col min="3" max="3" width="13.5" customWidth="1"/>
    <col min="4" max="4" width="11.6640625" customWidth="1"/>
    <col min="5" max="5" width="13.1640625" customWidth="1"/>
    <col min="6" max="6" width="12.33203125" customWidth="1"/>
    <col min="7" max="7" width="8.6640625" customWidth="1"/>
    <col min="8" max="8" width="12" bestFit="1" customWidth="1"/>
    <col min="9" max="14" width="8.6640625" customWidth="1"/>
    <col min="15" max="15" width="9.6640625" bestFit="1" customWidth="1"/>
    <col min="16" max="26" width="8.6640625" customWidth="1"/>
  </cols>
  <sheetData>
    <row r="1" spans="1:26" ht="12.7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24.75" customHeight="1" x14ac:dyDescent="0.25">
      <c r="A2" s="2"/>
      <c r="B2" s="287" t="str">
        <f>MAIN!C8</f>
        <v>Name of the PA</v>
      </c>
      <c r="C2" s="288"/>
      <c r="D2" s="288"/>
      <c r="E2" s="288"/>
      <c r="F2" s="289"/>
      <c r="G2" s="1"/>
      <c r="H2" s="1"/>
      <c r="I2" s="1"/>
      <c r="J2" s="1"/>
      <c r="K2" s="1"/>
      <c r="L2" s="1"/>
      <c r="M2" s="1"/>
      <c r="N2" s="1"/>
      <c r="O2" s="1"/>
      <c r="P2" s="1"/>
      <c r="Q2" s="1"/>
      <c r="R2" s="1"/>
      <c r="S2" s="1"/>
      <c r="T2" s="1"/>
      <c r="U2" s="1"/>
      <c r="V2" s="1"/>
      <c r="W2" s="1"/>
      <c r="X2" s="1"/>
      <c r="Y2" s="1"/>
      <c r="Z2" s="1"/>
    </row>
    <row r="3" spans="1:26" ht="24" customHeight="1" x14ac:dyDescent="0.2">
      <c r="A3" s="2"/>
      <c r="B3" s="293" t="s">
        <v>2</v>
      </c>
      <c r="C3" s="271"/>
      <c r="D3" s="271"/>
      <c r="E3" s="271"/>
      <c r="F3" s="272"/>
      <c r="G3" s="1"/>
      <c r="H3" s="1"/>
      <c r="I3" s="1"/>
      <c r="J3" s="1"/>
      <c r="K3" s="1"/>
      <c r="L3" s="1"/>
      <c r="M3" s="1"/>
      <c r="N3" s="1"/>
      <c r="O3" s="1"/>
      <c r="P3" s="1"/>
      <c r="Q3" s="1"/>
      <c r="R3" s="1"/>
      <c r="S3" s="1"/>
      <c r="T3" s="1"/>
      <c r="U3" s="1"/>
      <c r="V3" s="1"/>
      <c r="W3" s="1"/>
      <c r="X3" s="1"/>
      <c r="Y3" s="1"/>
      <c r="Z3" s="1"/>
    </row>
    <row r="4" spans="1:26" ht="12.75" customHeight="1" x14ac:dyDescent="0.2">
      <c r="A4" s="2"/>
      <c r="B4" s="5" t="s">
        <v>3</v>
      </c>
      <c r="C4" s="6"/>
      <c r="D4" s="7" t="s">
        <v>4</v>
      </c>
      <c r="E4" s="10">
        <f>MAIN!J7</f>
        <v>0</v>
      </c>
      <c r="F4" s="11" t="str">
        <f>MAIN!L7</f>
        <v>km2</v>
      </c>
      <c r="G4" s="1"/>
      <c r="H4" s="1"/>
      <c r="I4" s="1"/>
      <c r="J4" s="1"/>
      <c r="K4" s="1"/>
      <c r="L4" s="1"/>
      <c r="M4" s="1"/>
      <c r="N4" s="1"/>
      <c r="O4" s="1"/>
      <c r="P4" s="1"/>
      <c r="Q4" s="1"/>
      <c r="R4" s="1"/>
      <c r="S4" s="1"/>
      <c r="T4" s="1"/>
      <c r="U4" s="1"/>
      <c r="V4" s="1"/>
      <c r="W4" s="1"/>
      <c r="X4" s="1"/>
      <c r="Y4" s="1"/>
      <c r="Z4" s="1"/>
    </row>
    <row r="5" spans="1:26" ht="15" customHeight="1" x14ac:dyDescent="0.2">
      <c r="A5" s="2"/>
      <c r="B5" s="13" t="s">
        <v>7</v>
      </c>
      <c r="C5" s="14"/>
      <c r="D5" s="292">
        <v>2015</v>
      </c>
      <c r="E5" s="291"/>
      <c r="F5" s="18"/>
      <c r="G5" s="1"/>
      <c r="H5" s="1"/>
      <c r="I5" s="1"/>
      <c r="J5" s="1"/>
      <c r="K5" s="1"/>
      <c r="L5" s="1"/>
      <c r="M5" s="1"/>
      <c r="N5" s="1"/>
      <c r="O5" s="1"/>
      <c r="P5" s="1"/>
      <c r="Q5" s="1"/>
      <c r="R5" s="1"/>
      <c r="S5" s="1"/>
      <c r="T5" s="1"/>
      <c r="U5" s="1"/>
      <c r="V5" s="1"/>
      <c r="W5" s="1"/>
      <c r="X5" s="1"/>
      <c r="Y5" s="1"/>
      <c r="Z5" s="1"/>
    </row>
    <row r="6" spans="1:26" ht="16.5" customHeight="1" x14ac:dyDescent="0.2">
      <c r="A6" s="2"/>
      <c r="B6" s="13" t="s">
        <v>14</v>
      </c>
      <c r="C6" s="14"/>
      <c r="D6" s="290" t="s">
        <v>15</v>
      </c>
      <c r="E6" s="291"/>
      <c r="F6" s="18"/>
      <c r="G6" s="1"/>
      <c r="H6" s="1"/>
      <c r="I6" s="1"/>
      <c r="J6" s="1"/>
      <c r="K6" s="1"/>
      <c r="L6" s="1"/>
      <c r="M6" s="1"/>
      <c r="N6" s="1"/>
      <c r="O6" s="1"/>
      <c r="P6" s="1"/>
      <c r="Q6" s="1"/>
      <c r="R6" s="1"/>
      <c r="S6" s="1"/>
      <c r="T6" s="1"/>
      <c r="U6" s="1"/>
      <c r="V6" s="1"/>
      <c r="W6" s="1"/>
      <c r="X6" s="1"/>
      <c r="Y6" s="1"/>
      <c r="Z6" s="1"/>
    </row>
    <row r="7" spans="1:26" ht="16.5" customHeight="1" x14ac:dyDescent="0.2">
      <c r="A7" s="2"/>
      <c r="B7" s="21" t="s">
        <v>16</v>
      </c>
      <c r="C7" s="23" t="str">
        <f>MAIN!J8</f>
        <v>Bed-nights</v>
      </c>
      <c r="D7" s="294">
        <f>MAIN!O13</f>
        <v>2</v>
      </c>
      <c r="E7" s="291"/>
      <c r="F7" s="18"/>
      <c r="G7" s="1"/>
      <c r="H7" s="1"/>
      <c r="I7" s="1"/>
      <c r="J7" s="1"/>
      <c r="K7" s="1"/>
      <c r="L7" s="1"/>
      <c r="M7" s="1"/>
      <c r="N7" s="1"/>
      <c r="O7" s="1"/>
      <c r="P7" s="1"/>
      <c r="Q7" s="1"/>
      <c r="R7" s="1"/>
      <c r="S7" s="1"/>
      <c r="T7" s="1"/>
      <c r="U7" s="1"/>
      <c r="V7" s="1"/>
      <c r="W7" s="1"/>
      <c r="X7" s="1"/>
      <c r="Y7" s="1"/>
      <c r="Z7" s="1"/>
    </row>
    <row r="8" spans="1:26" ht="16.5" customHeight="1" x14ac:dyDescent="0.2">
      <c r="A8" s="2"/>
      <c r="B8" s="27" t="s">
        <v>17</v>
      </c>
      <c r="C8" s="28"/>
      <c r="D8" s="285" t="str">
        <f>MAIN!L8&amp; " " &amp;TEXT(MAIN!O33, "#,###.##")</f>
        <v>$ .</v>
      </c>
      <c r="E8" s="286"/>
      <c r="F8" s="34"/>
      <c r="G8" s="1"/>
      <c r="H8" s="1"/>
      <c r="I8" s="1"/>
      <c r="J8" s="1"/>
      <c r="K8" s="1"/>
      <c r="L8" s="1"/>
      <c r="M8" s="1"/>
      <c r="N8" s="1"/>
      <c r="O8" s="1"/>
      <c r="P8" s="1"/>
      <c r="Q8" s="1"/>
      <c r="R8" s="1"/>
      <c r="S8" s="1"/>
      <c r="T8" s="1"/>
      <c r="U8" s="1"/>
      <c r="V8" s="1"/>
      <c r="W8" s="1"/>
      <c r="X8" s="1"/>
      <c r="Y8" s="1"/>
      <c r="Z8" s="1"/>
    </row>
    <row r="9" spans="1:26" ht="16.5" customHeight="1" x14ac:dyDescent="0.2">
      <c r="A9" s="2"/>
      <c r="B9" s="19"/>
      <c r="C9" s="19"/>
      <c r="D9" s="36"/>
      <c r="E9" s="37"/>
      <c r="F9" s="2"/>
      <c r="G9" s="1"/>
      <c r="H9" s="1"/>
      <c r="I9" s="1"/>
      <c r="J9" s="1"/>
      <c r="K9" s="1"/>
      <c r="L9" s="1"/>
      <c r="M9" s="1"/>
      <c r="N9" s="1"/>
      <c r="O9" s="1"/>
      <c r="P9" s="1"/>
      <c r="Q9" s="1"/>
      <c r="R9" s="1"/>
      <c r="S9" s="1"/>
      <c r="T9" s="1"/>
      <c r="U9" s="1"/>
      <c r="V9" s="1"/>
      <c r="W9" s="1"/>
      <c r="X9" s="1"/>
      <c r="Y9" s="1"/>
      <c r="Z9" s="1"/>
    </row>
    <row r="10" spans="1:26" s="192" customFormat="1" ht="16.5" customHeight="1" thickBot="1" x14ac:dyDescent="0.25">
      <c r="A10" s="2"/>
      <c r="B10" s="119" t="s">
        <v>175</v>
      </c>
      <c r="C10" s="221" t="str">
        <f>MAIN!J8</f>
        <v>Bed-nights</v>
      </c>
      <c r="D10" s="219"/>
      <c r="E10" s="37"/>
      <c r="F10" s="2"/>
      <c r="G10" s="1"/>
      <c r="H10" s="1"/>
      <c r="I10" s="1"/>
      <c r="J10" s="1"/>
      <c r="K10" s="1"/>
      <c r="L10" s="1"/>
      <c r="M10" s="1"/>
      <c r="N10" s="1"/>
      <c r="O10" s="1"/>
      <c r="P10" s="1"/>
      <c r="Q10" s="1"/>
      <c r="R10" s="1"/>
      <c r="S10" s="1"/>
      <c r="T10" s="1"/>
      <c r="U10" s="1"/>
      <c r="V10" s="1"/>
      <c r="W10" s="1"/>
      <c r="X10" s="1"/>
      <c r="Y10" s="1"/>
      <c r="Z10" s="1"/>
    </row>
    <row r="11" spans="1:26" s="192" customFormat="1" ht="16.5" customHeight="1" x14ac:dyDescent="0.2">
      <c r="A11" s="2"/>
      <c r="B11" s="22"/>
      <c r="C11" s="220">
        <v>1</v>
      </c>
      <c r="D11" s="25">
        <v>2</v>
      </c>
      <c r="E11" s="26">
        <v>3</v>
      </c>
      <c r="F11" s="24">
        <v>4</v>
      </c>
      <c r="G11" s="25">
        <v>5</v>
      </c>
      <c r="H11" s="26">
        <v>6</v>
      </c>
      <c r="I11" s="24">
        <v>7</v>
      </c>
      <c r="J11" s="25">
        <v>8</v>
      </c>
      <c r="K11" s="26">
        <v>9</v>
      </c>
      <c r="L11" s="24">
        <v>10</v>
      </c>
      <c r="M11" s="25">
        <v>11</v>
      </c>
      <c r="N11" s="26">
        <v>12</v>
      </c>
      <c r="O11" s="29" t="s">
        <v>18</v>
      </c>
      <c r="P11" s="1"/>
      <c r="Q11" s="1"/>
      <c r="R11" s="1"/>
      <c r="S11" s="1"/>
      <c r="T11" s="1"/>
      <c r="U11" s="1"/>
      <c r="V11" s="1"/>
      <c r="W11" s="1"/>
      <c r="X11" s="1"/>
      <c r="Y11" s="1"/>
      <c r="Z11" s="1"/>
    </row>
    <row r="12" spans="1:26" s="192" customFormat="1" ht="16.5" customHeight="1" x14ac:dyDescent="0.2">
      <c r="A12" s="2"/>
      <c r="B12" s="13" t="s">
        <v>19</v>
      </c>
      <c r="C12" s="258" t="str">
        <f>MAIN!C12</f>
        <v>Segment 1</v>
      </c>
      <c r="D12" s="258" t="str">
        <f>MAIN!D12</f>
        <v>Segment 2</v>
      </c>
      <c r="E12" s="258">
        <f>MAIN!E12</f>
        <v>0</v>
      </c>
      <c r="F12" s="258">
        <f>MAIN!F12</f>
        <v>0</v>
      </c>
      <c r="G12" s="258">
        <f>MAIN!G12</f>
        <v>0</v>
      </c>
      <c r="H12" s="258">
        <f>MAIN!H12</f>
        <v>0</v>
      </c>
      <c r="I12" s="258">
        <f>MAIN!I12</f>
        <v>0</v>
      </c>
      <c r="J12" s="258">
        <f>MAIN!J12</f>
        <v>0</v>
      </c>
      <c r="K12" s="258">
        <f>MAIN!K12</f>
        <v>0</v>
      </c>
      <c r="L12" s="258">
        <f>MAIN!L12</f>
        <v>0</v>
      </c>
      <c r="M12" s="258">
        <f>MAIN!M12</f>
        <v>0</v>
      </c>
      <c r="N12" s="258">
        <f>MAIN!N12</f>
        <v>0</v>
      </c>
      <c r="O12" s="33"/>
      <c r="P12" s="1"/>
      <c r="Q12" s="1"/>
      <c r="R12" s="1"/>
      <c r="S12" s="1"/>
      <c r="T12" s="1"/>
      <c r="U12" s="1"/>
      <c r="V12" s="1"/>
      <c r="W12" s="1"/>
      <c r="X12" s="1"/>
      <c r="Y12" s="1"/>
      <c r="Z12" s="1"/>
    </row>
    <row r="13" spans="1:26" s="192" customFormat="1" ht="16.5" customHeight="1" x14ac:dyDescent="0.2">
      <c r="A13" s="2"/>
      <c r="B13" s="13" t="s">
        <v>20</v>
      </c>
      <c r="C13" s="259">
        <f>MAIN!C13</f>
        <v>1</v>
      </c>
      <c r="D13" s="259">
        <f>MAIN!D13</f>
        <v>1</v>
      </c>
      <c r="E13" s="259">
        <f>MAIN!E13</f>
        <v>0</v>
      </c>
      <c r="F13" s="259">
        <f>MAIN!F13</f>
        <v>0</v>
      </c>
      <c r="G13" s="259">
        <f>MAIN!G13</f>
        <v>0</v>
      </c>
      <c r="H13" s="259">
        <f>MAIN!H13</f>
        <v>0</v>
      </c>
      <c r="I13" s="259">
        <f>MAIN!I13</f>
        <v>0</v>
      </c>
      <c r="J13" s="259">
        <f>MAIN!J13</f>
        <v>0</v>
      </c>
      <c r="K13" s="259">
        <f>MAIN!K13</f>
        <v>0</v>
      </c>
      <c r="L13" s="259">
        <f>MAIN!L13</f>
        <v>0</v>
      </c>
      <c r="M13" s="259">
        <f>MAIN!M13</f>
        <v>0</v>
      </c>
      <c r="N13" s="259">
        <f>MAIN!N13</f>
        <v>0</v>
      </c>
      <c r="O13" s="38">
        <f t="shared" ref="O13:O14" si="0">SUM(C13:N13)</f>
        <v>2</v>
      </c>
      <c r="P13" s="1"/>
      <c r="Q13" s="1"/>
      <c r="R13" s="1"/>
      <c r="S13" s="1"/>
      <c r="T13" s="1"/>
      <c r="U13" s="1"/>
      <c r="V13" s="1"/>
      <c r="W13" s="1"/>
      <c r="X13" s="1"/>
      <c r="Y13" s="1"/>
      <c r="Z13" s="1"/>
    </row>
    <row r="14" spans="1:26" s="192" customFormat="1" ht="16.5" customHeight="1" thickBot="1" x14ac:dyDescent="0.25">
      <c r="A14" s="2"/>
      <c r="B14" s="40" t="s">
        <v>21</v>
      </c>
      <c r="C14" s="42">
        <f t="shared" ref="C14:N14" si="1">(C13*100)/$O$13</f>
        <v>50</v>
      </c>
      <c r="D14" s="42">
        <f t="shared" si="1"/>
        <v>50</v>
      </c>
      <c r="E14" s="42">
        <f t="shared" si="1"/>
        <v>0</v>
      </c>
      <c r="F14" s="42">
        <f t="shared" si="1"/>
        <v>0</v>
      </c>
      <c r="G14" s="42">
        <f t="shared" si="1"/>
        <v>0</v>
      </c>
      <c r="H14" s="42">
        <f t="shared" si="1"/>
        <v>0</v>
      </c>
      <c r="I14" s="42">
        <f t="shared" si="1"/>
        <v>0</v>
      </c>
      <c r="J14" s="42">
        <f t="shared" si="1"/>
        <v>0</v>
      </c>
      <c r="K14" s="42">
        <f t="shared" si="1"/>
        <v>0</v>
      </c>
      <c r="L14" s="42">
        <f t="shared" si="1"/>
        <v>0</v>
      </c>
      <c r="M14" s="42">
        <f t="shared" si="1"/>
        <v>0</v>
      </c>
      <c r="N14" s="42">
        <f t="shared" si="1"/>
        <v>0</v>
      </c>
      <c r="O14" s="46">
        <f t="shared" si="0"/>
        <v>100</v>
      </c>
      <c r="P14" s="1"/>
      <c r="Q14" s="1"/>
      <c r="R14" s="1"/>
      <c r="S14" s="1"/>
      <c r="T14" s="1"/>
      <c r="U14" s="1"/>
      <c r="V14" s="1"/>
      <c r="W14" s="1"/>
      <c r="X14" s="1"/>
      <c r="Y14" s="1"/>
      <c r="Z14" s="1"/>
    </row>
    <row r="15" spans="1:26" ht="16.5" customHeight="1" x14ac:dyDescent="0.2">
      <c r="A15" s="2"/>
      <c r="B15" s="39"/>
      <c r="C15" s="41" t="s">
        <v>22</v>
      </c>
      <c r="D15" s="36"/>
      <c r="E15" s="37"/>
      <c r="F15" s="2"/>
      <c r="G15" s="1"/>
      <c r="H15" s="1"/>
      <c r="I15" s="1"/>
      <c r="J15" s="1"/>
      <c r="K15" s="1"/>
      <c r="L15" s="1"/>
      <c r="M15" s="1"/>
      <c r="N15" s="1"/>
      <c r="O15" s="1"/>
      <c r="P15" s="1"/>
      <c r="Q15" s="1"/>
      <c r="R15" s="1"/>
      <c r="S15" s="1"/>
      <c r="T15" s="1"/>
      <c r="U15" s="1"/>
      <c r="V15" s="1"/>
      <c r="W15" s="1"/>
      <c r="X15" s="1"/>
      <c r="Y15" s="1"/>
      <c r="Z15" s="1"/>
    </row>
    <row r="16" spans="1:26" ht="16.5" customHeight="1" x14ac:dyDescent="0.2">
      <c r="A16" s="2"/>
      <c r="B16" s="2"/>
      <c r="C16" s="2"/>
      <c r="D16" s="2"/>
      <c r="E16" s="2"/>
      <c r="F16" s="2"/>
      <c r="G16" s="1"/>
      <c r="H16" s="1"/>
      <c r="I16" s="1"/>
      <c r="J16" s="1"/>
      <c r="K16" s="1"/>
      <c r="L16" s="1"/>
      <c r="M16" s="1"/>
      <c r="N16" s="1"/>
      <c r="O16" s="1"/>
      <c r="P16" s="1"/>
      <c r="Q16" s="1"/>
      <c r="R16" s="1"/>
      <c r="S16" s="1"/>
      <c r="T16" s="1"/>
      <c r="U16" s="1"/>
      <c r="V16" s="1"/>
      <c r="W16" s="1"/>
      <c r="X16" s="1"/>
      <c r="Y16" s="1"/>
      <c r="Z16" s="1"/>
    </row>
    <row r="17" spans="1:26" ht="13.5" customHeight="1" x14ac:dyDescent="0.2">
      <c r="A17" s="2"/>
      <c r="B17" s="43" t="s">
        <v>23</v>
      </c>
      <c r="C17" s="44"/>
      <c r="D17" s="44"/>
      <c r="E17" s="44"/>
      <c r="F17" s="44"/>
      <c r="G17" s="1"/>
      <c r="H17" s="1"/>
      <c r="I17" s="1"/>
      <c r="J17" s="1"/>
      <c r="K17" s="1"/>
      <c r="L17" s="1"/>
      <c r="M17" s="1"/>
      <c r="N17" s="1"/>
      <c r="O17" s="1"/>
      <c r="P17" s="1"/>
      <c r="Q17" s="1"/>
      <c r="R17" s="1"/>
      <c r="S17" s="1"/>
      <c r="T17" s="1"/>
      <c r="U17" s="1"/>
      <c r="V17" s="1"/>
      <c r="W17" s="1"/>
      <c r="X17" s="1"/>
      <c r="Y17" s="1"/>
      <c r="Z17" s="1"/>
    </row>
    <row r="18" spans="1:26" ht="13.5" customHeight="1" x14ac:dyDescent="0.2">
      <c r="A18" s="2"/>
      <c r="B18" s="45"/>
      <c r="C18" s="282" t="s">
        <v>24</v>
      </c>
      <c r="D18" s="283"/>
      <c r="E18" s="283"/>
      <c r="F18" s="284"/>
      <c r="G18" s="1"/>
      <c r="H18" s="1"/>
      <c r="I18" s="1"/>
      <c r="J18" s="1"/>
      <c r="K18" s="1"/>
      <c r="L18" s="1"/>
      <c r="M18" s="1"/>
      <c r="N18" s="1"/>
      <c r="O18" s="1"/>
      <c r="P18" s="1"/>
      <c r="Q18" s="1"/>
      <c r="R18" s="1"/>
      <c r="S18" s="1"/>
      <c r="T18" s="1"/>
      <c r="U18" s="1"/>
      <c r="V18" s="1"/>
      <c r="W18" s="1"/>
      <c r="X18" s="1"/>
      <c r="Y18" s="1"/>
      <c r="Z18" s="1"/>
    </row>
    <row r="19" spans="1:26" ht="25.5" customHeight="1" x14ac:dyDescent="0.2">
      <c r="A19" s="2"/>
      <c r="B19" s="49" t="s">
        <v>25</v>
      </c>
      <c r="C19" s="51" t="str">
        <f>"Output   " &amp;MAIN!L8&amp; " 000's"</f>
        <v>Output   $ 000's</v>
      </c>
      <c r="D19" s="51" t="s">
        <v>28</v>
      </c>
      <c r="E19" s="51" t="str">
        <f>"Personal Income " &amp;MAIN!L8&amp; " 000's"</f>
        <v>Personal Income $ 000's</v>
      </c>
      <c r="F19" s="53" t="str">
        <f>"  "&amp; "Value Added   " &amp;MAIN!L8&amp; " 000's"</f>
        <v xml:space="preserve">  Value Added   $ 000's</v>
      </c>
      <c r="G19" s="1"/>
      <c r="H19" s="1"/>
      <c r="I19" s="1"/>
      <c r="J19" s="1"/>
      <c r="K19" s="1"/>
      <c r="L19" s="1"/>
      <c r="M19" s="1"/>
      <c r="N19" s="1"/>
      <c r="O19" s="1"/>
      <c r="P19" s="1"/>
      <c r="Q19" s="1"/>
      <c r="R19" s="1"/>
      <c r="S19" s="1"/>
      <c r="T19" s="1"/>
      <c r="U19" s="1"/>
      <c r="V19" s="1"/>
      <c r="W19" s="1"/>
      <c r="X19" s="1"/>
      <c r="Y19" s="1"/>
      <c r="Z19" s="1"/>
    </row>
    <row r="20" spans="1:26" ht="12.75" customHeight="1" x14ac:dyDescent="0.2">
      <c r="A20" s="2"/>
      <c r="B20" s="55" t="str">
        <f>MAIN!B19</f>
        <v>All inclusive packages</v>
      </c>
      <c r="C20" s="57">
        <f>MAIN!I77</f>
        <v>0</v>
      </c>
      <c r="D20" s="57">
        <f>MAIN!J77</f>
        <v>0</v>
      </c>
      <c r="E20" s="57">
        <f>MAIN!K77</f>
        <v>0</v>
      </c>
      <c r="F20" s="59">
        <f>MAIN!L77</f>
        <v>0</v>
      </c>
      <c r="G20" s="1"/>
      <c r="H20" s="1"/>
      <c r="I20" s="1"/>
      <c r="J20" s="1"/>
      <c r="K20" s="1"/>
      <c r="L20" s="1"/>
      <c r="M20" s="1"/>
      <c r="N20" s="1"/>
      <c r="O20" s="1"/>
      <c r="P20" s="1"/>
      <c r="Q20" s="1"/>
      <c r="R20" s="1"/>
      <c r="S20" s="1"/>
      <c r="T20" s="1"/>
      <c r="U20" s="1"/>
      <c r="V20" s="1"/>
      <c r="W20" s="1"/>
      <c r="X20" s="1"/>
      <c r="Y20" s="1"/>
      <c r="Z20" s="1"/>
    </row>
    <row r="21" spans="1:26" ht="16.5" customHeight="1" x14ac:dyDescent="0.2">
      <c r="A21" s="2"/>
      <c r="B21" s="13" t="str">
        <f>MAIN!B20</f>
        <v>Accomodation: Hotel, lodges, B&amp;B, bushcamps,...</v>
      </c>
      <c r="C21" s="57">
        <f>MAIN!I78</f>
        <v>0</v>
      </c>
      <c r="D21" s="57">
        <f>MAIN!J78</f>
        <v>0</v>
      </c>
      <c r="E21" s="57">
        <f>MAIN!K78</f>
        <v>0</v>
      </c>
      <c r="F21" s="59">
        <f>MAIN!L78</f>
        <v>0</v>
      </c>
      <c r="G21" s="1"/>
      <c r="H21" s="1"/>
      <c r="I21" s="1"/>
      <c r="J21" s="1"/>
      <c r="K21" s="1"/>
      <c r="L21" s="1"/>
      <c r="M21" s="1"/>
      <c r="N21" s="1"/>
      <c r="O21" s="1"/>
      <c r="P21" s="1"/>
      <c r="Q21" s="1"/>
      <c r="R21" s="1"/>
      <c r="S21" s="1"/>
      <c r="T21" s="1"/>
      <c r="U21" s="1"/>
      <c r="V21" s="1"/>
      <c r="W21" s="1"/>
      <c r="X21" s="1"/>
      <c r="Y21" s="1"/>
      <c r="Z21" s="1"/>
    </row>
    <row r="22" spans="1:26" ht="16.5" customHeight="1" x14ac:dyDescent="0.2">
      <c r="A22" s="2"/>
      <c r="B22" s="13" t="str">
        <f>MAIN!B21</f>
        <v xml:space="preserve">Camping fees </v>
      </c>
      <c r="C22" s="57">
        <f>MAIN!I79</f>
        <v>0</v>
      </c>
      <c r="D22" s="57">
        <f>MAIN!J79</f>
        <v>0</v>
      </c>
      <c r="E22" s="57">
        <f>MAIN!K79</f>
        <v>0</v>
      </c>
      <c r="F22" s="59">
        <f>MAIN!L79</f>
        <v>0</v>
      </c>
      <c r="G22" s="1"/>
      <c r="H22" s="1"/>
      <c r="I22" s="1"/>
      <c r="J22" s="1"/>
      <c r="K22" s="1"/>
      <c r="L22" s="1"/>
      <c r="M22" s="1"/>
      <c r="N22" s="1"/>
      <c r="O22" s="1"/>
      <c r="P22" s="1"/>
      <c r="Q22" s="1"/>
      <c r="R22" s="1"/>
      <c r="S22" s="1"/>
      <c r="T22" s="1"/>
      <c r="U22" s="1"/>
      <c r="V22" s="1"/>
      <c r="W22" s="1"/>
      <c r="X22" s="1"/>
      <c r="Y22" s="1"/>
      <c r="Z22" s="1"/>
    </row>
    <row r="23" spans="1:26" ht="16.5" customHeight="1" x14ac:dyDescent="0.2">
      <c r="A23" s="2"/>
      <c r="B23" s="13" t="str">
        <f>MAIN!B22</f>
        <v>Meals: Restaurants, bars,...</v>
      </c>
      <c r="C23" s="57">
        <f>MAIN!I80</f>
        <v>0</v>
      </c>
      <c r="D23" s="57">
        <f>MAIN!J80</f>
        <v>0</v>
      </c>
      <c r="E23" s="57">
        <f>MAIN!K80</f>
        <v>0</v>
      </c>
      <c r="F23" s="59">
        <f>MAIN!L80</f>
        <v>0</v>
      </c>
      <c r="G23" s="1"/>
      <c r="H23" s="1"/>
      <c r="I23" s="1"/>
      <c r="J23" s="1"/>
      <c r="K23" s="1"/>
      <c r="L23" s="1"/>
      <c r="M23" s="1"/>
      <c r="N23" s="1"/>
      <c r="O23" s="1"/>
      <c r="P23" s="1"/>
      <c r="Q23" s="1"/>
      <c r="R23" s="1"/>
      <c r="S23" s="1"/>
      <c r="T23" s="1"/>
      <c r="U23" s="1"/>
      <c r="V23" s="1"/>
      <c r="W23" s="1"/>
      <c r="X23" s="1"/>
      <c r="Y23" s="1"/>
      <c r="Z23" s="1"/>
    </row>
    <row r="24" spans="1:26" ht="16.5" customHeight="1" x14ac:dyDescent="0.2">
      <c r="A24" s="2"/>
      <c r="B24" s="13" t="str">
        <f>MAIN!B23</f>
        <v xml:space="preserve">Groceries, </v>
      </c>
      <c r="C24" s="57">
        <f>MAIN!I81</f>
        <v>0</v>
      </c>
      <c r="D24" s="57">
        <f>MAIN!J81</f>
        <v>0</v>
      </c>
      <c r="E24" s="57">
        <f>MAIN!K81</f>
        <v>0</v>
      </c>
      <c r="F24" s="59">
        <f>MAIN!L81</f>
        <v>0</v>
      </c>
      <c r="G24" s="1"/>
      <c r="H24" s="1"/>
      <c r="I24" s="1"/>
      <c r="J24" s="1"/>
      <c r="K24" s="1"/>
      <c r="L24" s="1"/>
      <c r="M24" s="1"/>
      <c r="N24" s="1"/>
      <c r="O24" s="1"/>
      <c r="P24" s="1"/>
      <c r="Q24" s="1"/>
      <c r="R24" s="1"/>
      <c r="S24" s="1"/>
      <c r="T24" s="1"/>
      <c r="U24" s="1"/>
      <c r="V24" s="1"/>
      <c r="W24" s="1"/>
      <c r="X24" s="1"/>
      <c r="Y24" s="1"/>
      <c r="Z24" s="1"/>
    </row>
    <row r="25" spans="1:26" ht="16.5" customHeight="1" x14ac:dyDescent="0.2">
      <c r="A25" s="2"/>
      <c r="B25" s="13" t="str">
        <f>MAIN!B24</f>
        <v xml:space="preserve">Gas &amp; oil </v>
      </c>
      <c r="C25" s="57">
        <f>MAIN!I82</f>
        <v>0</v>
      </c>
      <c r="D25" s="57">
        <f>MAIN!J82</f>
        <v>0</v>
      </c>
      <c r="E25" s="57">
        <f>MAIN!K82</f>
        <v>0</v>
      </c>
      <c r="F25" s="59">
        <f>MAIN!L82</f>
        <v>0</v>
      </c>
      <c r="G25" s="1"/>
      <c r="H25" s="1"/>
      <c r="I25" s="1"/>
      <c r="J25" s="1"/>
      <c r="K25" s="1"/>
      <c r="L25" s="1"/>
      <c r="M25" s="1"/>
      <c r="N25" s="1"/>
      <c r="O25" s="1"/>
      <c r="P25" s="1"/>
      <c r="Q25" s="1"/>
      <c r="R25" s="1"/>
      <c r="S25" s="1"/>
      <c r="T25" s="1"/>
      <c r="U25" s="1"/>
      <c r="V25" s="1"/>
      <c r="W25" s="1"/>
      <c r="X25" s="1"/>
      <c r="Y25" s="1"/>
      <c r="Z25" s="1"/>
    </row>
    <row r="26" spans="1:26" ht="16.5" customHeight="1" x14ac:dyDescent="0.2">
      <c r="A26" s="2"/>
      <c r="B26" s="13" t="str">
        <f>MAIN!B25</f>
        <v xml:space="preserve">Local transportation </v>
      </c>
      <c r="C26" s="57">
        <f>MAIN!I83</f>
        <v>0</v>
      </c>
      <c r="D26" s="57">
        <f>MAIN!J83</f>
        <v>0</v>
      </c>
      <c r="E26" s="57">
        <f>MAIN!K83</f>
        <v>0</v>
      </c>
      <c r="F26" s="59">
        <f>MAIN!L83</f>
        <v>0</v>
      </c>
      <c r="G26" s="1"/>
      <c r="H26" s="1"/>
      <c r="I26" s="1"/>
      <c r="J26" s="1"/>
      <c r="K26" s="1"/>
      <c r="L26" s="1"/>
      <c r="M26" s="1"/>
      <c r="N26" s="1"/>
      <c r="O26" s="1"/>
      <c r="P26" s="1"/>
      <c r="Q26" s="1"/>
      <c r="R26" s="1"/>
      <c r="S26" s="1"/>
      <c r="T26" s="1"/>
      <c r="U26" s="1"/>
      <c r="V26" s="1"/>
      <c r="W26" s="1"/>
      <c r="X26" s="1"/>
      <c r="Y26" s="1"/>
      <c r="Z26" s="1"/>
    </row>
    <row r="27" spans="1:26" ht="16.5" customHeight="1" x14ac:dyDescent="0.2">
      <c r="A27" s="2"/>
      <c r="B27" s="13" t="str">
        <f>MAIN!B26</f>
        <v>Admissions &amp; fees (PA entry)</v>
      </c>
      <c r="C27" s="57">
        <f>MAIN!I84</f>
        <v>0</v>
      </c>
      <c r="D27" s="57">
        <f>MAIN!J84</f>
        <v>0</v>
      </c>
      <c r="E27" s="57">
        <f>MAIN!K84</f>
        <v>0</v>
      </c>
      <c r="F27" s="59">
        <f>MAIN!L84</f>
        <v>0</v>
      </c>
      <c r="G27" s="1"/>
      <c r="H27" s="1"/>
      <c r="I27" s="1"/>
      <c r="J27" s="1"/>
      <c r="K27" s="1"/>
      <c r="L27" s="1"/>
      <c r="M27" s="1"/>
      <c r="N27" s="1"/>
      <c r="O27" s="1"/>
      <c r="P27" s="1"/>
      <c r="Q27" s="1"/>
      <c r="R27" s="1"/>
      <c r="S27" s="1"/>
      <c r="T27" s="1"/>
      <c r="U27" s="1"/>
      <c r="V27" s="1"/>
      <c r="W27" s="1"/>
      <c r="X27" s="1"/>
      <c r="Y27" s="1"/>
      <c r="Z27" s="1"/>
    </row>
    <row r="28" spans="1:26" ht="16.5" customHeight="1" x14ac:dyDescent="0.2">
      <c r="A28" s="2"/>
      <c r="B28" s="13" t="str">
        <f>MAIN!B27</f>
        <v>Activities and Guided Tours (e.g. game drives)</v>
      </c>
      <c r="C28" s="57">
        <f>MAIN!I85</f>
        <v>0</v>
      </c>
      <c r="D28" s="57">
        <f>MAIN!J85</f>
        <v>0</v>
      </c>
      <c r="E28" s="57">
        <f>MAIN!K85</f>
        <v>0</v>
      </c>
      <c r="F28" s="59">
        <f>MAIN!L85</f>
        <v>0</v>
      </c>
      <c r="G28" s="1"/>
      <c r="H28" s="1"/>
      <c r="I28" s="1"/>
      <c r="J28" s="1"/>
      <c r="K28" s="1"/>
      <c r="L28" s="1"/>
      <c r="M28" s="1"/>
      <c r="N28" s="1"/>
      <c r="O28" s="1"/>
      <c r="P28" s="1"/>
      <c r="Q28" s="1"/>
      <c r="R28" s="1"/>
      <c r="S28" s="1"/>
      <c r="T28" s="1"/>
      <c r="U28" s="1"/>
      <c r="V28" s="1"/>
      <c r="W28" s="1"/>
      <c r="X28" s="1"/>
      <c r="Y28" s="1"/>
      <c r="Z28" s="1"/>
    </row>
    <row r="29" spans="1:26" ht="16.5" customHeight="1" x14ac:dyDescent="0.2">
      <c r="A29" s="2"/>
      <c r="B29" s="13" t="str">
        <f>MAIN!B28</f>
        <v>Souvenirs and other gifts</v>
      </c>
      <c r="C29" s="57">
        <f>MAIN!I86</f>
        <v>0</v>
      </c>
      <c r="D29" s="57">
        <f>MAIN!J86</f>
        <v>0</v>
      </c>
      <c r="E29" s="57">
        <f>MAIN!K86</f>
        <v>0</v>
      </c>
      <c r="F29" s="59">
        <f>MAIN!L86</f>
        <v>0</v>
      </c>
      <c r="G29" s="1"/>
      <c r="H29" s="1"/>
      <c r="I29" s="1"/>
      <c r="J29" s="1"/>
      <c r="K29" s="1"/>
      <c r="L29" s="1"/>
      <c r="M29" s="1"/>
      <c r="N29" s="1"/>
      <c r="O29" s="1"/>
      <c r="P29" s="1"/>
      <c r="Q29" s="1"/>
      <c r="R29" s="1"/>
      <c r="S29" s="1"/>
      <c r="T29" s="1"/>
      <c r="U29" s="1"/>
      <c r="V29" s="1"/>
      <c r="W29" s="1"/>
      <c r="X29" s="1"/>
      <c r="Y29" s="1"/>
      <c r="Z29" s="1"/>
    </row>
    <row r="30" spans="1:26" ht="16.5" customHeight="1" x14ac:dyDescent="0.2">
      <c r="A30" s="2"/>
      <c r="B30" s="13" t="str">
        <f>MAIN!B29</f>
        <v>Resource/Trophy Fees (purchase of resource, license, permits)</v>
      </c>
      <c r="C30" s="57">
        <f>MAIN!I87</f>
        <v>0</v>
      </c>
      <c r="D30" s="57">
        <f>MAIN!J87</f>
        <v>0</v>
      </c>
      <c r="E30" s="57">
        <f>MAIN!K87</f>
        <v>0</v>
      </c>
      <c r="F30" s="59">
        <f>MAIN!L87</f>
        <v>0</v>
      </c>
      <c r="G30" s="1"/>
      <c r="H30" s="1"/>
      <c r="I30" s="1"/>
      <c r="J30" s="1"/>
      <c r="K30" s="1"/>
      <c r="L30" s="1"/>
      <c r="M30" s="1"/>
      <c r="N30" s="1"/>
      <c r="O30" s="1"/>
      <c r="P30" s="1"/>
      <c r="Q30" s="1"/>
      <c r="R30" s="1"/>
      <c r="S30" s="1"/>
      <c r="T30" s="1"/>
      <c r="U30" s="1"/>
      <c r="V30" s="1"/>
      <c r="W30" s="1"/>
      <c r="X30" s="1"/>
      <c r="Y30" s="1"/>
      <c r="Z30" s="1"/>
    </row>
    <row r="31" spans="1:26" ht="16.5" customHeight="1" x14ac:dyDescent="0.2">
      <c r="A31" s="2"/>
      <c r="B31" s="13" t="str">
        <f>MAIN!B30</f>
        <v>Local dip, pack, taxidermy</v>
      </c>
      <c r="C31" s="57">
        <f>MAIN!I88</f>
        <v>0</v>
      </c>
      <c r="D31" s="57">
        <f>MAIN!J88</f>
        <v>0</v>
      </c>
      <c r="E31" s="57">
        <f>MAIN!K88</f>
        <v>0</v>
      </c>
      <c r="F31" s="59">
        <f>MAIN!L88</f>
        <v>0</v>
      </c>
      <c r="G31" s="1"/>
      <c r="H31" s="1"/>
      <c r="I31" s="1"/>
      <c r="J31" s="1"/>
      <c r="K31" s="1"/>
      <c r="L31" s="1"/>
      <c r="M31" s="1"/>
      <c r="N31" s="1"/>
      <c r="O31" s="1"/>
      <c r="P31" s="1"/>
      <c r="Q31" s="1"/>
      <c r="R31" s="1"/>
      <c r="S31" s="1"/>
      <c r="T31" s="1"/>
      <c r="U31" s="1"/>
      <c r="V31" s="1"/>
      <c r="W31" s="1"/>
      <c r="X31" s="1"/>
      <c r="Y31" s="1"/>
      <c r="Z31" s="1"/>
    </row>
    <row r="32" spans="1:26" ht="16.5" customHeight="1" x14ac:dyDescent="0.2">
      <c r="A32" s="2"/>
      <c r="B32" s="13" t="str">
        <f>MAIN!B31</f>
        <v>Gratuities and Tips</v>
      </c>
      <c r="C32" s="57">
        <f>MAIN!I89</f>
        <v>0</v>
      </c>
      <c r="D32" s="57">
        <f>MAIN!J89</f>
        <v>0</v>
      </c>
      <c r="E32" s="57">
        <f>MAIN!K89</f>
        <v>0</v>
      </c>
      <c r="F32" s="59">
        <f>MAIN!L89</f>
        <v>0</v>
      </c>
      <c r="G32" s="1"/>
      <c r="H32" s="1"/>
      <c r="I32" s="1"/>
      <c r="J32" s="1"/>
      <c r="K32" s="1"/>
      <c r="L32" s="1"/>
      <c r="M32" s="1"/>
      <c r="N32" s="1"/>
      <c r="O32" s="1"/>
      <c r="P32" s="1"/>
      <c r="Q32" s="1"/>
      <c r="R32" s="1"/>
      <c r="S32" s="1"/>
      <c r="T32" s="1"/>
      <c r="U32" s="1"/>
      <c r="V32" s="1"/>
      <c r="W32" s="1"/>
      <c r="X32" s="1"/>
      <c r="Y32" s="1"/>
      <c r="Z32" s="1"/>
    </row>
    <row r="33" spans="1:26" ht="16.5" customHeight="1" x14ac:dyDescent="0.2">
      <c r="A33" s="2"/>
      <c r="B33" s="13" t="str">
        <f>MAIN!B32</f>
        <v>Other expenses</v>
      </c>
      <c r="C33" s="57">
        <f>MAIN!I90</f>
        <v>0</v>
      </c>
      <c r="D33" s="57" t="e">
        <f>MAIN!J90</f>
        <v>#DIV/0!</v>
      </c>
      <c r="E33" s="57" t="e">
        <f>MAIN!K90</f>
        <v>#DIV/0!</v>
      </c>
      <c r="F33" s="59" t="e">
        <f>MAIN!L90</f>
        <v>#DIV/0!</v>
      </c>
      <c r="G33" s="1"/>
      <c r="H33" s="1"/>
      <c r="I33" s="1"/>
      <c r="J33" s="1"/>
      <c r="K33" s="1"/>
      <c r="L33" s="1"/>
      <c r="M33" s="1"/>
      <c r="N33" s="1"/>
      <c r="O33" s="1"/>
      <c r="P33" s="1"/>
      <c r="Q33" s="1"/>
      <c r="R33" s="1"/>
      <c r="S33" s="1"/>
      <c r="T33" s="1"/>
      <c r="U33" s="1"/>
      <c r="V33" s="1"/>
      <c r="W33" s="1"/>
      <c r="X33" s="1"/>
      <c r="Y33" s="1"/>
      <c r="Z33" s="1"/>
    </row>
    <row r="34" spans="1:26" ht="16.5" customHeight="1" x14ac:dyDescent="0.2">
      <c r="A34" s="2"/>
      <c r="B34" s="13" t="s">
        <v>43</v>
      </c>
      <c r="C34" s="57">
        <f>MAIN!I91</f>
        <v>0</v>
      </c>
      <c r="D34" s="57">
        <f>MAIN!J91</f>
        <v>0</v>
      </c>
      <c r="E34" s="57">
        <f>MAIN!K91</f>
        <v>0</v>
      </c>
      <c r="F34" s="59">
        <f>MAIN!L91</f>
        <v>0</v>
      </c>
      <c r="G34" s="1"/>
      <c r="H34" s="1"/>
      <c r="I34" s="1"/>
      <c r="J34" s="1"/>
      <c r="K34" s="1"/>
      <c r="L34" s="1"/>
      <c r="M34" s="1"/>
      <c r="N34" s="1"/>
      <c r="O34" s="1"/>
      <c r="P34" s="1"/>
      <c r="Q34" s="1"/>
      <c r="R34" s="1"/>
      <c r="S34" s="1"/>
      <c r="T34" s="1"/>
      <c r="U34" s="1"/>
      <c r="V34" s="1"/>
      <c r="W34" s="1"/>
      <c r="X34" s="1"/>
      <c r="Y34" s="1"/>
      <c r="Z34" s="1"/>
    </row>
    <row r="35" spans="1:26" ht="16.5" customHeight="1" x14ac:dyDescent="0.2">
      <c r="A35" s="2"/>
      <c r="B35" s="13" t="s">
        <v>45</v>
      </c>
      <c r="C35" s="57">
        <f>MAIN!I92</f>
        <v>0</v>
      </c>
      <c r="D35" s="57">
        <f>MAIN!J92</f>
        <v>0</v>
      </c>
      <c r="E35" s="57">
        <f>MAIN!K92</f>
        <v>0</v>
      </c>
      <c r="F35" s="59">
        <f>MAIN!L92</f>
        <v>0</v>
      </c>
      <c r="G35" s="1"/>
      <c r="H35" s="1"/>
      <c r="I35" s="1"/>
      <c r="J35" s="1"/>
      <c r="K35" s="1"/>
      <c r="L35" s="1"/>
      <c r="M35" s="1"/>
      <c r="N35" s="1"/>
      <c r="O35" s="1"/>
      <c r="P35" s="1"/>
      <c r="Q35" s="1"/>
      <c r="R35" s="1"/>
      <c r="S35" s="1"/>
      <c r="T35" s="1"/>
      <c r="U35" s="1"/>
      <c r="V35" s="1"/>
      <c r="W35" s="1"/>
      <c r="X35" s="1"/>
      <c r="Y35" s="1"/>
      <c r="Z35" s="1"/>
    </row>
    <row r="36" spans="1:26" ht="16.5" customHeight="1" x14ac:dyDescent="0.2">
      <c r="A36" s="2"/>
      <c r="B36" s="40" t="s">
        <v>18</v>
      </c>
      <c r="C36" s="73">
        <f t="shared" ref="C36:F36" si="2">SUM(C20:C35)</f>
        <v>0</v>
      </c>
      <c r="D36" s="73" t="e">
        <f t="shared" si="2"/>
        <v>#DIV/0!</v>
      </c>
      <c r="E36" s="73" t="e">
        <f t="shared" si="2"/>
        <v>#DIV/0!</v>
      </c>
      <c r="F36" s="74" t="e">
        <f t="shared" si="2"/>
        <v>#DIV/0!</v>
      </c>
      <c r="G36" s="1"/>
      <c r="H36" s="1"/>
      <c r="I36" s="1"/>
      <c r="J36" s="1"/>
      <c r="K36" s="1"/>
      <c r="L36" s="1"/>
      <c r="M36" s="1"/>
      <c r="N36" s="1"/>
      <c r="O36" s="1"/>
      <c r="P36" s="1"/>
      <c r="Q36" s="1"/>
      <c r="R36" s="1"/>
      <c r="S36" s="1"/>
      <c r="T36" s="1"/>
      <c r="U36" s="1"/>
      <c r="V36" s="1"/>
      <c r="W36" s="1"/>
      <c r="X36" s="1"/>
      <c r="Y36" s="1"/>
      <c r="Z36" s="1"/>
    </row>
    <row r="37" spans="1:26" ht="16.5" customHeight="1" x14ac:dyDescent="0.2">
      <c r="A37" s="2"/>
      <c r="B37" s="2"/>
      <c r="C37" s="2"/>
      <c r="D37" s="2"/>
      <c r="E37" s="2"/>
      <c r="F37" s="2"/>
      <c r="G37" s="1"/>
      <c r="H37" s="1"/>
      <c r="I37" s="1"/>
      <c r="J37" s="1"/>
      <c r="K37" s="1"/>
      <c r="L37" s="1"/>
      <c r="M37" s="1"/>
      <c r="N37" s="1"/>
      <c r="O37" s="1"/>
      <c r="P37" s="1"/>
      <c r="Q37" s="1"/>
      <c r="R37" s="1"/>
      <c r="S37" s="1"/>
      <c r="T37" s="1"/>
      <c r="U37" s="1"/>
      <c r="V37" s="1"/>
      <c r="W37" s="1"/>
      <c r="X37" s="1"/>
      <c r="Y37" s="1"/>
      <c r="Z37" s="1"/>
    </row>
    <row r="38" spans="1:26" ht="13.5" customHeight="1" x14ac:dyDescent="0.2">
      <c r="A38" s="48"/>
      <c r="B38" s="43" t="s">
        <v>47</v>
      </c>
      <c r="C38" s="48"/>
      <c r="D38" s="48"/>
      <c r="E38" s="48"/>
      <c r="F38" s="2"/>
      <c r="G38" s="1"/>
      <c r="H38" s="1"/>
      <c r="I38" s="1"/>
      <c r="J38" s="1"/>
      <c r="K38" s="1"/>
      <c r="L38" s="1"/>
      <c r="M38" s="1"/>
      <c r="N38" s="1"/>
      <c r="O38" s="1"/>
      <c r="P38" s="1"/>
      <c r="Q38" s="1"/>
      <c r="R38" s="1"/>
      <c r="S38" s="1"/>
      <c r="T38" s="1"/>
      <c r="U38" s="1"/>
      <c r="V38" s="1"/>
      <c r="W38" s="1"/>
      <c r="X38" s="1"/>
      <c r="Y38" s="1"/>
      <c r="Z38" s="1"/>
    </row>
    <row r="39" spans="1:26" ht="25.5" customHeight="1" x14ac:dyDescent="0.2">
      <c r="A39" s="48"/>
      <c r="B39" s="75" t="s">
        <v>48</v>
      </c>
      <c r="C39" s="76" t="str">
        <f>"DIRECT EFFECTS " &amp;MAIN!L8&amp; " 000's"</f>
        <v>DIRECT EFFECTS $ 000's</v>
      </c>
      <c r="D39" s="77" t="s">
        <v>49</v>
      </c>
      <c r="E39" s="78" t="str">
        <f>"TOTAL EFFECTS " &amp;MAIN!L8&amp; " 000's"</f>
        <v>TOTAL EFFECTS $ 000's</v>
      </c>
      <c r="F39" s="48"/>
      <c r="G39" s="1"/>
      <c r="H39" s="1"/>
      <c r="I39" s="1"/>
      <c r="J39" s="1"/>
      <c r="K39" s="1"/>
      <c r="L39" s="1"/>
      <c r="M39" s="1"/>
      <c r="N39" s="1"/>
      <c r="O39" s="1"/>
      <c r="P39" s="1"/>
      <c r="Q39" s="1"/>
      <c r="R39" s="1"/>
      <c r="S39" s="1"/>
      <c r="T39" s="1"/>
      <c r="U39" s="1"/>
      <c r="V39" s="1"/>
      <c r="W39" s="1"/>
      <c r="X39" s="1"/>
      <c r="Y39" s="1"/>
      <c r="Z39" s="1"/>
    </row>
    <row r="40" spans="1:26" ht="15" customHeight="1" x14ac:dyDescent="0.2">
      <c r="A40" s="48"/>
      <c r="B40" s="79" t="s">
        <v>50</v>
      </c>
      <c r="C40" s="80" t="str">
        <f>MAIN!L8&amp; " " &amp;TEXT(MAIN!I93,"#,##0")</f>
        <v>$ 0</v>
      </c>
      <c r="D40" s="66" t="e">
        <f t="shared" ref="D40:D43" si="3">E40/C40</f>
        <v>#DIV/0!</v>
      </c>
      <c r="E40" s="81" t="e">
        <f>MAIN!L8&amp; " " &amp;TEXT(MAIN!C115,"#,##0")</f>
        <v>#DIV/0!</v>
      </c>
      <c r="F40" s="48"/>
      <c r="G40" s="1"/>
      <c r="H40" s="1"/>
      <c r="I40" s="1"/>
      <c r="J40" s="1"/>
      <c r="K40" s="1"/>
      <c r="L40" s="1"/>
      <c r="M40" s="1"/>
      <c r="N40" s="1"/>
      <c r="O40" s="1"/>
      <c r="P40" s="1"/>
      <c r="Q40" s="1"/>
      <c r="R40" s="1"/>
      <c r="S40" s="1"/>
      <c r="T40" s="1"/>
      <c r="U40" s="1"/>
      <c r="V40" s="1"/>
      <c r="W40" s="1"/>
      <c r="X40" s="1"/>
      <c r="Y40" s="1"/>
      <c r="Z40" s="1"/>
    </row>
    <row r="41" spans="1:26" ht="13.5" customHeight="1" x14ac:dyDescent="0.2">
      <c r="A41" s="48"/>
      <c r="B41" s="79" t="s">
        <v>51</v>
      </c>
      <c r="C41" s="80" t="e">
        <f>MAIN!L8&amp; " " &amp;TEXT(MAIN!K93,"#,##0")</f>
        <v>#DIV/0!</v>
      </c>
      <c r="D41" s="66" t="e">
        <f t="shared" si="3"/>
        <v>#DIV/0!</v>
      </c>
      <c r="E41" s="81" t="e">
        <f>MAIN!L8&amp; " " &amp;TEXT(MAIN!E115,"#,##0")</f>
        <v>#DIV/0!</v>
      </c>
      <c r="F41" s="48"/>
      <c r="G41" s="1"/>
      <c r="H41" s="1"/>
      <c r="I41" s="1"/>
      <c r="J41" s="1"/>
      <c r="K41" s="1"/>
      <c r="L41" s="1"/>
      <c r="M41" s="1"/>
      <c r="N41" s="1"/>
      <c r="O41" s="1"/>
      <c r="P41" s="1"/>
      <c r="Q41" s="1"/>
      <c r="R41" s="1"/>
      <c r="S41" s="1"/>
      <c r="T41" s="1"/>
      <c r="U41" s="1"/>
      <c r="V41" s="1"/>
      <c r="W41" s="1"/>
      <c r="X41" s="1"/>
      <c r="Y41" s="1"/>
      <c r="Z41" s="1"/>
    </row>
    <row r="42" spans="1:26" ht="16.5" customHeight="1" x14ac:dyDescent="0.2">
      <c r="A42" s="2"/>
      <c r="B42" s="79" t="s">
        <v>52</v>
      </c>
      <c r="C42" s="80" t="e">
        <f>MAIN!L8&amp; " " &amp;TEXT(MAIN!L93,"#,##0")</f>
        <v>#DIV/0!</v>
      </c>
      <c r="D42" s="66" t="e">
        <f t="shared" si="3"/>
        <v>#DIV/0!</v>
      </c>
      <c r="E42" s="81" t="e">
        <f>MAIN!L8&amp; " " &amp;TEXT(MAIN!F115,"#,##0")</f>
        <v>#DIV/0!</v>
      </c>
      <c r="F42" s="48"/>
      <c r="G42" s="1"/>
      <c r="H42" s="1"/>
      <c r="I42" s="1"/>
      <c r="J42" s="1"/>
      <c r="K42" s="1"/>
      <c r="L42" s="1"/>
      <c r="M42" s="1"/>
      <c r="N42" s="1"/>
      <c r="O42" s="1"/>
      <c r="P42" s="1"/>
      <c r="Q42" s="1"/>
      <c r="R42" s="1"/>
      <c r="S42" s="1"/>
      <c r="T42" s="1"/>
      <c r="U42" s="1"/>
      <c r="V42" s="1"/>
      <c r="W42" s="1"/>
      <c r="X42" s="1"/>
      <c r="Y42" s="1"/>
      <c r="Z42" s="1"/>
    </row>
    <row r="43" spans="1:26" ht="16.5" customHeight="1" x14ac:dyDescent="0.2">
      <c r="A43" s="2"/>
      <c r="B43" s="82" t="s">
        <v>53</v>
      </c>
      <c r="C43" s="83" t="e">
        <f>MAIN!J93</f>
        <v>#DIV/0!</v>
      </c>
      <c r="D43" s="66" t="e">
        <f t="shared" si="3"/>
        <v>#DIV/0!</v>
      </c>
      <c r="E43" s="85" t="e">
        <f>MAIN!D115</f>
        <v>#DIV/0!</v>
      </c>
      <c r="F43" s="2"/>
      <c r="G43" s="1"/>
      <c r="H43" s="1"/>
      <c r="I43" s="1"/>
      <c r="J43" s="1"/>
      <c r="K43" s="1"/>
      <c r="L43" s="1"/>
      <c r="M43" s="1"/>
      <c r="N43" s="1"/>
      <c r="O43" s="1"/>
      <c r="P43" s="1"/>
      <c r="Q43" s="1"/>
      <c r="R43" s="1"/>
      <c r="S43" s="1"/>
      <c r="T43" s="1"/>
      <c r="U43" s="1"/>
      <c r="V43" s="1"/>
      <c r="W43" s="1"/>
      <c r="X43" s="1"/>
      <c r="Y43" s="1"/>
      <c r="Z43" s="1"/>
    </row>
    <row r="44" spans="1:26" ht="16.5" customHeight="1" x14ac:dyDescent="0.2">
      <c r="A44" s="48"/>
      <c r="B44" s="87"/>
      <c r="C44" s="48"/>
      <c r="D44" s="48"/>
      <c r="E44" s="88"/>
      <c r="F44" s="2"/>
      <c r="G44" s="1"/>
      <c r="H44" s="1"/>
      <c r="I44" s="1"/>
      <c r="J44" s="1"/>
      <c r="K44" s="1"/>
      <c r="L44" s="1"/>
      <c r="M44" s="1"/>
      <c r="N44" s="1"/>
      <c r="O44" s="1"/>
      <c r="P44" s="1"/>
      <c r="Q44" s="1"/>
      <c r="R44" s="1"/>
      <c r="S44" s="1"/>
      <c r="T44" s="1"/>
      <c r="U44" s="1"/>
      <c r="V44" s="1"/>
      <c r="W44" s="1"/>
      <c r="X44" s="1"/>
      <c r="Y44" s="1"/>
      <c r="Z44" s="1"/>
    </row>
    <row r="45" spans="1:26" ht="16.5" customHeight="1" x14ac:dyDescent="0.2">
      <c r="A45" s="48"/>
      <c r="B45" s="82" t="str">
        <f>"Total Visitor Spending  (" &amp;MAIN!L8&amp; " 000's)"</f>
        <v>Total Visitor Spending  ($ 000's)</v>
      </c>
      <c r="C45" s="14"/>
      <c r="D45" s="90">
        <f>MAIN!O53</f>
        <v>0</v>
      </c>
      <c r="E45" s="92"/>
      <c r="F45" s="2"/>
      <c r="G45" s="1"/>
      <c r="H45" s="1"/>
      <c r="I45" s="1"/>
      <c r="J45" s="1"/>
      <c r="K45" s="1"/>
      <c r="L45" s="1"/>
      <c r="M45" s="1"/>
      <c r="N45" s="1"/>
      <c r="O45" s="1"/>
      <c r="P45" s="1"/>
      <c r="Q45" s="1"/>
      <c r="R45" s="1"/>
      <c r="S45" s="1"/>
      <c r="T45" s="1"/>
      <c r="U45" s="1"/>
      <c r="V45" s="1"/>
      <c r="W45" s="1"/>
      <c r="X45" s="1"/>
      <c r="Y45" s="1"/>
      <c r="Z45" s="1"/>
    </row>
    <row r="46" spans="1:26" ht="16.5" customHeight="1" x14ac:dyDescent="0.2">
      <c r="A46" s="48"/>
      <c r="B46" s="82" t="s">
        <v>54</v>
      </c>
      <c r="C46" s="14"/>
      <c r="D46" s="94" t="e">
        <f>C40/D45</f>
        <v>#DIV/0!</v>
      </c>
      <c r="E46" s="92"/>
      <c r="F46" s="2"/>
      <c r="G46" s="1"/>
      <c r="H46" s="1"/>
      <c r="I46" s="1"/>
      <c r="J46" s="1"/>
      <c r="K46" s="1"/>
      <c r="L46" s="1"/>
      <c r="M46" s="1"/>
      <c r="N46" s="1"/>
      <c r="O46" s="1"/>
      <c r="P46" s="1"/>
      <c r="Q46" s="1"/>
      <c r="R46" s="1"/>
      <c r="S46" s="1"/>
      <c r="T46" s="1"/>
      <c r="U46" s="1"/>
      <c r="V46" s="1"/>
      <c r="W46" s="1"/>
      <c r="X46" s="1"/>
      <c r="Y46" s="1"/>
      <c r="Z46" s="1"/>
    </row>
    <row r="47" spans="1:26" ht="16.5" customHeight="1" x14ac:dyDescent="0.2">
      <c r="A47" s="2"/>
      <c r="B47" s="52" t="s">
        <v>56</v>
      </c>
      <c r="C47" s="96"/>
      <c r="D47" s="56" t="e">
        <f>D40*D46</f>
        <v>#DIV/0!</v>
      </c>
      <c r="E47" s="97"/>
      <c r="F47" s="48"/>
      <c r="G47" s="1"/>
      <c r="H47" s="1"/>
      <c r="I47" s="1"/>
      <c r="J47" s="1"/>
      <c r="K47" s="1"/>
      <c r="L47" s="1"/>
      <c r="M47" s="1"/>
      <c r="N47" s="1"/>
      <c r="O47" s="1"/>
      <c r="P47" s="1"/>
      <c r="Q47" s="1"/>
      <c r="R47" s="1"/>
      <c r="S47" s="1"/>
      <c r="T47" s="1"/>
      <c r="U47" s="1"/>
      <c r="V47" s="1"/>
      <c r="W47" s="1"/>
      <c r="X47" s="1"/>
      <c r="Y47" s="1"/>
      <c r="Z47" s="1"/>
    </row>
    <row r="48" spans="1:26" ht="16.5" customHeight="1" x14ac:dyDescent="0.2">
      <c r="A48" s="2"/>
      <c r="B48" s="48"/>
      <c r="C48" s="48"/>
      <c r="D48" s="48"/>
      <c r="E48" s="48"/>
      <c r="F48" s="2"/>
      <c r="G48" s="1"/>
      <c r="H48" s="1"/>
      <c r="I48" s="1"/>
      <c r="J48" s="1"/>
      <c r="K48" s="1"/>
      <c r="L48" s="1"/>
      <c r="M48" s="1"/>
      <c r="N48" s="1"/>
      <c r="O48" s="1"/>
      <c r="P48" s="1"/>
      <c r="Q48" s="1"/>
      <c r="R48" s="1"/>
      <c r="S48" s="1"/>
      <c r="T48" s="1"/>
      <c r="U48" s="1"/>
      <c r="V48" s="1"/>
      <c r="W48" s="1"/>
      <c r="X48" s="1"/>
      <c r="Y48" s="1"/>
      <c r="Z48" s="1"/>
    </row>
    <row r="49" spans="1:26" ht="18" customHeight="1" x14ac:dyDescent="0.2">
      <c r="A49" s="2"/>
      <c r="B49" s="98" t="s">
        <v>58</v>
      </c>
      <c r="C49" s="48"/>
      <c r="D49" s="48"/>
      <c r="E49" s="48"/>
      <c r="F49" s="2"/>
      <c r="G49" s="1"/>
      <c r="H49" s="1"/>
      <c r="I49" s="1"/>
      <c r="J49" s="1"/>
      <c r="K49" s="1"/>
      <c r="L49" s="1"/>
      <c r="M49" s="1"/>
      <c r="N49" s="1"/>
      <c r="O49" s="1"/>
      <c r="P49" s="1"/>
      <c r="Q49" s="1"/>
      <c r="R49" s="1"/>
      <c r="S49" s="1"/>
      <c r="T49" s="1"/>
      <c r="U49" s="1"/>
      <c r="V49" s="1"/>
      <c r="W49" s="1"/>
      <c r="X49" s="1"/>
      <c r="Y49" s="1"/>
      <c r="Z49" s="1"/>
    </row>
    <row r="50" spans="1:26" ht="33" customHeight="1" x14ac:dyDescent="0.2">
      <c r="A50" s="2"/>
      <c r="B50" s="45"/>
      <c r="C50" s="280" t="str">
        <f>"change per " &amp;MAIN!L8&amp; "1,000 of visitor spending"</f>
        <v>change per $1,000 of visitor spending</v>
      </c>
      <c r="D50" s="101" t="s">
        <v>59</v>
      </c>
      <c r="E50" s="102" t="s">
        <v>60</v>
      </c>
      <c r="F50" s="1"/>
      <c r="G50" s="1"/>
      <c r="H50" s="1"/>
      <c r="I50" s="1"/>
      <c r="J50" s="1"/>
      <c r="K50" s="1"/>
      <c r="L50" s="1"/>
      <c r="M50" s="1"/>
      <c r="N50" s="1"/>
      <c r="O50" s="1"/>
      <c r="P50" s="1"/>
      <c r="Q50" s="1"/>
      <c r="R50" s="1"/>
      <c r="S50" s="1"/>
      <c r="T50" s="1"/>
      <c r="U50" s="1"/>
      <c r="V50" s="1"/>
      <c r="W50" s="1"/>
      <c r="X50" s="1"/>
      <c r="Y50" s="1"/>
      <c r="Z50" s="1"/>
    </row>
    <row r="51" spans="1:26" ht="18" customHeight="1" x14ac:dyDescent="0.2">
      <c r="A51" s="2"/>
      <c r="B51" s="104"/>
      <c r="C51" s="281"/>
      <c r="D51" s="105" t="str">
        <f>MAIN!J8</f>
        <v>Bed-nights</v>
      </c>
      <c r="E51" s="106" t="str">
        <f>MAIN!L7</f>
        <v>km2</v>
      </c>
      <c r="F51" s="1"/>
      <c r="G51" s="1"/>
      <c r="H51" s="1"/>
      <c r="I51" s="1"/>
      <c r="J51" s="1"/>
      <c r="K51" s="1"/>
      <c r="L51" s="1"/>
      <c r="M51" s="1"/>
      <c r="N51" s="1"/>
      <c r="O51" s="1"/>
      <c r="P51" s="1"/>
      <c r="Q51" s="1"/>
      <c r="R51" s="1"/>
      <c r="S51" s="1"/>
      <c r="T51" s="1"/>
      <c r="U51" s="1"/>
      <c r="V51" s="1"/>
      <c r="W51" s="1"/>
      <c r="X51" s="1"/>
      <c r="Y51" s="1"/>
      <c r="Z51" s="1"/>
    </row>
    <row r="52" spans="1:26" ht="15.75" customHeight="1" x14ac:dyDescent="0.2">
      <c r="A52" s="2"/>
      <c r="B52" s="13" t="s">
        <v>61</v>
      </c>
      <c r="C52" s="80" t="e">
        <f>MAIN!L8&amp; " " &amp;TEXT(1000*C41/D45,"#,##0")</f>
        <v>#DIV/0!</v>
      </c>
      <c r="D52" s="80" t="e">
        <f>MAIN!L8&amp; " " &amp;TEXT(C52*D$8,"#,##0")</f>
        <v>#DIV/0!</v>
      </c>
      <c r="E52" s="107" t="e">
        <f>MAIN!L8&amp; " " &amp;TEXT(C41*1000/MAIN!J$7,"#,##0")</f>
        <v>#DIV/0!</v>
      </c>
      <c r="F52" s="1"/>
      <c r="G52" s="1"/>
      <c r="H52" s="1"/>
      <c r="I52" s="1"/>
      <c r="J52" s="1"/>
      <c r="K52" s="1"/>
      <c r="L52" s="1"/>
      <c r="M52" s="1"/>
      <c r="N52" s="1"/>
      <c r="O52" s="1"/>
      <c r="P52" s="1"/>
      <c r="Q52" s="1"/>
      <c r="R52" s="1"/>
      <c r="S52" s="1"/>
      <c r="T52" s="1"/>
      <c r="U52" s="1"/>
      <c r="V52" s="1"/>
      <c r="W52" s="1"/>
      <c r="X52" s="1"/>
      <c r="Y52" s="1"/>
      <c r="Z52" s="1"/>
    </row>
    <row r="53" spans="1:26" ht="16.5" customHeight="1" x14ac:dyDescent="0.2">
      <c r="A53" s="2"/>
      <c r="B53" s="13" t="s">
        <v>62</v>
      </c>
      <c r="C53" s="80" t="e">
        <f>MAIN!L8&amp; " " &amp;TEXT(1000*C42/D45,"#,##0")</f>
        <v>#DIV/0!</v>
      </c>
      <c r="D53" s="80" t="e">
        <f>MAIN!L8&amp; " " &amp;TEXT(C53*D$8,"#,##0")</f>
        <v>#DIV/0!</v>
      </c>
      <c r="E53" s="107" t="e">
        <f>MAIN!L8&amp; " " &amp;TEXT(C42*1000/MAIN!J$7,"#,##0")</f>
        <v>#DIV/0!</v>
      </c>
      <c r="F53" s="1"/>
      <c r="G53" s="1"/>
      <c r="H53" s="1"/>
      <c r="I53" s="1"/>
      <c r="J53" s="1"/>
      <c r="K53" s="1"/>
      <c r="L53" s="1"/>
      <c r="M53" s="1"/>
      <c r="N53" s="1"/>
      <c r="O53" s="1"/>
      <c r="P53" s="1"/>
      <c r="Q53" s="1"/>
      <c r="R53" s="1"/>
      <c r="S53" s="1"/>
      <c r="T53" s="1"/>
      <c r="U53" s="1"/>
      <c r="V53" s="1"/>
      <c r="W53" s="1"/>
      <c r="X53" s="1"/>
      <c r="Y53" s="1"/>
      <c r="Z53" s="1"/>
    </row>
    <row r="54" spans="1:26" ht="16.5" customHeight="1" x14ac:dyDescent="0.2">
      <c r="A54" s="2"/>
      <c r="B54" s="13" t="s">
        <v>63</v>
      </c>
      <c r="C54" s="108" t="e">
        <f>C43/D45</f>
        <v>#DIV/0!</v>
      </c>
      <c r="D54" s="109" t="e">
        <f>C54*D$8</f>
        <v>#DIV/0!</v>
      </c>
      <c r="E54" s="110" t="e">
        <f>C43*1000/MAIN!J$7</f>
        <v>#DIV/0!</v>
      </c>
      <c r="F54" s="1"/>
      <c r="G54" s="1"/>
      <c r="H54" s="1"/>
      <c r="I54" s="1"/>
      <c r="J54" s="1"/>
      <c r="K54" s="1"/>
      <c r="L54" s="1"/>
      <c r="M54" s="1"/>
      <c r="N54" s="1"/>
      <c r="O54" s="1"/>
      <c r="P54" s="1"/>
      <c r="Q54" s="1"/>
      <c r="R54" s="1"/>
      <c r="S54" s="1"/>
      <c r="T54" s="1"/>
      <c r="U54" s="1"/>
      <c r="V54" s="1"/>
      <c r="W54" s="1"/>
      <c r="X54" s="1"/>
      <c r="Y54" s="1"/>
      <c r="Z54" s="1"/>
    </row>
    <row r="55" spans="1:26" ht="16.5" customHeight="1" x14ac:dyDescent="0.2">
      <c r="A55" s="2"/>
      <c r="B55" s="13" t="s">
        <v>64</v>
      </c>
      <c r="C55" s="80" t="e">
        <f>MAIN!L8&amp; " " &amp;TEXT(1000*E41/D45,"#,##0")</f>
        <v>#DIV/0!</v>
      </c>
      <c r="D55" s="80" t="e">
        <f>MAIN!L8&amp; " " &amp;TEXT(C55*D$8,"#,##0")</f>
        <v>#DIV/0!</v>
      </c>
      <c r="E55" s="107" t="e">
        <f>MAIN!L8&amp; " " &amp;TEXT(E41*1000/MAIN!J$7,"#,##0")</f>
        <v>#DIV/0!</v>
      </c>
      <c r="F55" s="1"/>
      <c r="G55" s="1"/>
      <c r="H55" s="1"/>
      <c r="I55" s="1"/>
      <c r="J55" s="1"/>
      <c r="K55" s="1"/>
      <c r="L55" s="1"/>
      <c r="M55" s="1"/>
      <c r="N55" s="1"/>
      <c r="O55" s="1"/>
      <c r="P55" s="1"/>
      <c r="Q55" s="1"/>
      <c r="R55" s="1"/>
      <c r="S55" s="1"/>
      <c r="T55" s="1"/>
      <c r="U55" s="1"/>
      <c r="V55" s="1"/>
      <c r="W55" s="1"/>
      <c r="X55" s="1"/>
      <c r="Y55" s="1"/>
      <c r="Z55" s="1"/>
    </row>
    <row r="56" spans="1:26" ht="16.5" customHeight="1" x14ac:dyDescent="0.2">
      <c r="A56" s="2"/>
      <c r="B56" s="13" t="s">
        <v>65</v>
      </c>
      <c r="C56" s="80" t="e">
        <f>MAIN!L8&amp; " " &amp;TEXT(1000*E42/D45,"#,##0")</f>
        <v>#DIV/0!</v>
      </c>
      <c r="D56" s="80" t="e">
        <f>MAIN!L8&amp; " " &amp;TEXT(C56*D$8,"#,##0")</f>
        <v>#DIV/0!</v>
      </c>
      <c r="E56" s="107" t="e">
        <f>MAIN!L8&amp; " " &amp;TEXT(E42*1000/MAIN!J$7,"#,##0")</f>
        <v>#DIV/0!</v>
      </c>
      <c r="F56" s="1"/>
      <c r="G56" s="1"/>
      <c r="H56" s="1"/>
      <c r="I56" s="1"/>
      <c r="J56" s="1"/>
      <c r="K56" s="1"/>
      <c r="L56" s="1"/>
      <c r="M56" s="1"/>
      <c r="N56" s="1"/>
      <c r="O56" s="1"/>
      <c r="P56" s="1"/>
      <c r="Q56" s="1"/>
      <c r="R56" s="1"/>
      <c r="S56" s="1"/>
      <c r="T56" s="1"/>
      <c r="U56" s="1"/>
      <c r="V56" s="1"/>
      <c r="W56" s="1"/>
      <c r="X56" s="1"/>
      <c r="Y56" s="1"/>
      <c r="Z56" s="1"/>
    </row>
    <row r="57" spans="1:26" ht="16.5" customHeight="1" x14ac:dyDescent="0.2">
      <c r="A57" s="2"/>
      <c r="B57" s="40" t="s">
        <v>66</v>
      </c>
      <c r="C57" s="111" t="e">
        <f>E43/D45</f>
        <v>#DIV/0!</v>
      </c>
      <c r="D57" s="112" t="e">
        <f>C57*D$8</f>
        <v>#DIV/0!</v>
      </c>
      <c r="E57" s="113" t="e">
        <f>E43*1000/MAIN!J$7</f>
        <v>#DIV/0!</v>
      </c>
      <c r="F57" s="1"/>
      <c r="G57" s="1"/>
      <c r="H57" s="1"/>
      <c r="I57" s="1"/>
      <c r="J57" s="1"/>
      <c r="K57" s="1"/>
      <c r="L57" s="1"/>
      <c r="M57" s="1"/>
      <c r="N57" s="1"/>
      <c r="O57" s="1"/>
      <c r="P57" s="1"/>
      <c r="Q57" s="1"/>
      <c r="R57" s="1"/>
      <c r="S57" s="1"/>
      <c r="T57" s="1"/>
      <c r="U57" s="1"/>
      <c r="V57" s="1"/>
      <c r="W57" s="1"/>
      <c r="X57" s="1"/>
      <c r="Y57" s="1"/>
      <c r="Z57" s="1"/>
    </row>
    <row r="58" spans="1:26" ht="16.5" customHeight="1" x14ac:dyDescent="0.2">
      <c r="A58" s="2"/>
      <c r="B58" s="2"/>
      <c r="C58" s="2"/>
      <c r="D58" s="2"/>
      <c r="E58" s="2"/>
      <c r="F58" s="2"/>
      <c r="G58" s="1"/>
      <c r="H58" s="1"/>
      <c r="I58" s="1"/>
      <c r="J58" s="1"/>
      <c r="K58" s="1"/>
      <c r="L58" s="1"/>
      <c r="M58" s="1"/>
      <c r="N58" s="1"/>
      <c r="O58" s="1"/>
      <c r="P58" s="1"/>
      <c r="Q58" s="1"/>
      <c r="R58" s="1"/>
      <c r="S58" s="1"/>
      <c r="T58" s="1"/>
      <c r="U58" s="1"/>
      <c r="V58" s="1"/>
      <c r="W58" s="1"/>
      <c r="X58" s="1"/>
      <c r="Y58" s="1"/>
      <c r="Z58" s="1"/>
    </row>
    <row r="59" spans="1:26" ht="16.5" customHeight="1" x14ac:dyDescent="0.2">
      <c r="A59" s="2"/>
      <c r="B59" s="114" t="s">
        <v>67</v>
      </c>
      <c r="C59" s="2"/>
      <c r="D59" s="2"/>
      <c r="E59" s="2"/>
      <c r="F59" s="2"/>
      <c r="G59" s="1"/>
      <c r="H59" s="1"/>
      <c r="I59" s="1"/>
      <c r="J59" s="1"/>
      <c r="K59" s="1"/>
      <c r="L59" s="1"/>
      <c r="M59" s="1"/>
      <c r="N59" s="1"/>
      <c r="O59" s="1"/>
      <c r="P59" s="1"/>
      <c r="Q59" s="1"/>
      <c r="R59" s="1"/>
      <c r="S59" s="1"/>
      <c r="T59" s="1"/>
      <c r="U59" s="1"/>
      <c r="V59" s="1"/>
      <c r="W59" s="1"/>
      <c r="X59" s="1"/>
      <c r="Y59" s="1"/>
      <c r="Z59" s="1"/>
    </row>
    <row r="60" spans="1:26" ht="16.5" customHeight="1" x14ac:dyDescent="0.2">
      <c r="A60" s="2"/>
      <c r="B60" s="2"/>
      <c r="C60" s="2"/>
      <c r="D60" s="2"/>
      <c r="E60" s="2"/>
      <c r="F60" s="2"/>
      <c r="G60" s="1"/>
      <c r="H60" s="1"/>
      <c r="I60" s="1"/>
      <c r="J60" s="1"/>
      <c r="K60" s="1"/>
      <c r="L60" s="1"/>
      <c r="M60" s="1"/>
      <c r="N60" s="1"/>
      <c r="O60" s="1"/>
      <c r="P60" s="1"/>
      <c r="Q60" s="1"/>
      <c r="R60" s="1"/>
      <c r="S60" s="1"/>
      <c r="T60" s="1"/>
      <c r="U60" s="1"/>
      <c r="V60" s="1"/>
      <c r="W60" s="1"/>
      <c r="X60" s="1"/>
      <c r="Y60" s="1"/>
      <c r="Z60" s="1"/>
    </row>
    <row r="61" spans="1:26" ht="13.5" customHeight="1" x14ac:dyDescent="0.2">
      <c r="A61" s="2"/>
      <c r="B61" s="115" t="s">
        <v>68</v>
      </c>
      <c r="C61" s="116"/>
      <c r="D61" s="116"/>
      <c r="E61" s="117" t="str">
        <f>"(" &amp;MAIN!L8&amp; " 000's)"</f>
        <v>($ 000's)</v>
      </c>
      <c r="F61" s="2"/>
      <c r="G61" s="1"/>
      <c r="H61" s="1"/>
      <c r="I61" s="1"/>
      <c r="J61" s="1"/>
      <c r="K61" s="1"/>
      <c r="L61" s="1"/>
      <c r="M61" s="1"/>
      <c r="N61" s="1"/>
      <c r="O61" s="1"/>
      <c r="P61" s="1"/>
      <c r="Q61" s="1"/>
      <c r="R61" s="1"/>
      <c r="S61" s="1"/>
      <c r="T61" s="1"/>
      <c r="U61" s="1"/>
      <c r="V61" s="1"/>
      <c r="W61" s="1"/>
      <c r="X61" s="1"/>
      <c r="Y61" s="1"/>
      <c r="Z61" s="1"/>
    </row>
    <row r="62" spans="1:26" ht="15" customHeight="1" x14ac:dyDescent="0.2">
      <c r="A62" s="2"/>
      <c r="B62" s="87"/>
      <c r="C62" s="119" t="s">
        <v>69</v>
      </c>
      <c r="D62" s="119" t="s">
        <v>70</v>
      </c>
      <c r="E62" s="120" t="s">
        <v>18</v>
      </c>
      <c r="F62" s="2"/>
      <c r="G62" s="1"/>
      <c r="H62" s="1"/>
      <c r="I62" s="1"/>
      <c r="J62" s="1"/>
      <c r="K62" s="1"/>
      <c r="L62" s="1"/>
      <c r="M62" s="1"/>
      <c r="N62" s="1"/>
      <c r="O62" s="1"/>
      <c r="P62" s="1"/>
      <c r="Q62" s="1"/>
      <c r="R62" s="1"/>
      <c r="S62" s="1"/>
      <c r="T62" s="1"/>
      <c r="U62" s="1"/>
      <c r="V62" s="1"/>
      <c r="W62" s="1"/>
      <c r="X62" s="1"/>
      <c r="Y62" s="1"/>
      <c r="Z62" s="1"/>
    </row>
    <row r="63" spans="1:26" ht="16.5" customHeight="1" x14ac:dyDescent="0.2">
      <c r="A63" s="2"/>
      <c r="B63" s="13" t="s">
        <v>71</v>
      </c>
      <c r="C63" s="57">
        <f>MAIN!G136</f>
        <v>0</v>
      </c>
      <c r="D63" s="57" t="e">
        <f>MAIN!G137</f>
        <v>#DIV/0!</v>
      </c>
      <c r="E63" s="59" t="e">
        <f t="shared" ref="E63:E66" si="4">C63+D63</f>
        <v>#DIV/0!</v>
      </c>
      <c r="F63" s="2"/>
      <c r="G63" s="1"/>
      <c r="H63" s="17" t="s">
        <v>72</v>
      </c>
      <c r="I63" s="1"/>
      <c r="J63" s="1"/>
      <c r="K63" s="1"/>
      <c r="L63" s="1"/>
      <c r="M63" s="1"/>
      <c r="N63" s="1"/>
      <c r="O63" s="1"/>
      <c r="P63" s="1"/>
      <c r="Q63" s="1"/>
      <c r="R63" s="1"/>
      <c r="S63" s="1"/>
      <c r="T63" s="1"/>
      <c r="U63" s="1"/>
      <c r="V63" s="1"/>
      <c r="W63" s="1"/>
      <c r="X63" s="1"/>
      <c r="Y63" s="1"/>
      <c r="Z63" s="1"/>
    </row>
    <row r="64" spans="1:26" ht="16.5" customHeight="1" x14ac:dyDescent="0.2">
      <c r="A64" s="2"/>
      <c r="B64" s="13" t="s">
        <v>73</v>
      </c>
      <c r="C64" s="57">
        <f>MAIN!H136</f>
        <v>0</v>
      </c>
      <c r="D64" s="57" t="e">
        <f>MAIN!H137</f>
        <v>#DIV/0!</v>
      </c>
      <c r="E64" s="59" t="e">
        <f t="shared" si="4"/>
        <v>#DIV/0!</v>
      </c>
      <c r="F64" s="2"/>
      <c r="G64" s="1"/>
      <c r="H64" s="1"/>
      <c r="I64" s="1"/>
      <c r="J64" s="1"/>
      <c r="K64" s="1"/>
      <c r="L64" s="1"/>
      <c r="M64" s="1"/>
      <c r="N64" s="1"/>
      <c r="O64" s="1"/>
      <c r="P64" s="1"/>
      <c r="Q64" s="1"/>
      <c r="R64" s="1"/>
      <c r="S64" s="1"/>
      <c r="T64" s="1"/>
      <c r="U64" s="1"/>
      <c r="V64" s="1"/>
      <c r="W64" s="1"/>
      <c r="X64" s="1"/>
      <c r="Y64" s="1"/>
      <c r="Z64" s="1"/>
    </row>
    <row r="65" spans="1:26" ht="16.5" customHeight="1" x14ac:dyDescent="0.2">
      <c r="A65" s="2"/>
      <c r="B65" s="13" t="s">
        <v>74</v>
      </c>
      <c r="C65" s="57">
        <f>MAIN!I136</f>
        <v>0</v>
      </c>
      <c r="D65" s="57" t="e">
        <f>MAIN!I137</f>
        <v>#DIV/0!</v>
      </c>
      <c r="E65" s="59" t="e">
        <f t="shared" si="4"/>
        <v>#DIV/0!</v>
      </c>
      <c r="F65" s="2"/>
      <c r="G65" s="1"/>
      <c r="H65" s="1"/>
      <c r="I65" s="1"/>
      <c r="J65" s="1"/>
      <c r="K65" s="1"/>
      <c r="L65" s="1"/>
      <c r="M65" s="1"/>
      <c r="N65" s="1"/>
      <c r="O65" s="1"/>
      <c r="P65" s="1"/>
      <c r="Q65" s="1"/>
      <c r="R65" s="1"/>
      <c r="S65" s="1"/>
      <c r="T65" s="1"/>
      <c r="U65" s="1"/>
      <c r="V65" s="1"/>
      <c r="W65" s="1"/>
      <c r="X65" s="1"/>
      <c r="Y65" s="1"/>
      <c r="Z65" s="1"/>
    </row>
    <row r="66" spans="1:26" ht="16.5" customHeight="1" x14ac:dyDescent="0.2">
      <c r="A66" s="2"/>
      <c r="B66" s="40" t="s">
        <v>18</v>
      </c>
      <c r="C66" s="73">
        <f t="shared" ref="C66:D66" si="5">SUM(C63:C65)</f>
        <v>0</v>
      </c>
      <c r="D66" s="73" t="e">
        <f t="shared" si="5"/>
        <v>#DIV/0!</v>
      </c>
      <c r="E66" s="74" t="e">
        <f t="shared" si="4"/>
        <v>#DIV/0!</v>
      </c>
      <c r="F66" s="2"/>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2.7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2.7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2.7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2.7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sheetData>
  <sheetProtection sheet="1" objects="1" scenarios="1"/>
  <mergeCells count="8">
    <mergeCell ref="C50:C51"/>
    <mergeCell ref="C18:F18"/>
    <mergeCell ref="D8:E8"/>
    <mergeCell ref="B2:F2"/>
    <mergeCell ref="D6:E6"/>
    <mergeCell ref="D5:E5"/>
    <mergeCell ref="B3:F3"/>
    <mergeCell ref="D7:E7"/>
  </mergeCells>
  <conditionalFormatting sqref="D8:E11 D14:E15">
    <cfRule type="cellIs" dxfId="65" priority="1" stopIfTrue="1" operator="lessThan">
      <formula>0</formula>
    </cfRule>
  </conditionalFormatting>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01"/>
  <sheetViews>
    <sheetView workbookViewId="0">
      <selection activeCell="AK70" sqref="AK70"/>
    </sheetView>
  </sheetViews>
  <sheetFormatPr baseColWidth="10" defaultColWidth="8.83203125" defaultRowHeight="16" x14ac:dyDescent="0.2"/>
  <cols>
    <col min="11" max="11" width="12.83203125" customWidth="1"/>
    <col min="12" max="12" width="10.1640625" bestFit="1" customWidth="1"/>
    <col min="16" max="16" width="23.1640625" style="192" customWidth="1"/>
    <col min="17" max="32" width="8.83203125" style="192"/>
    <col min="33" max="33" width="9.1640625" style="192" bestFit="1" customWidth="1"/>
    <col min="34" max="35" width="8.83203125" style="192" bestFit="1" customWidth="1"/>
    <col min="36" max="48" width="8.83203125" style="192"/>
  </cols>
  <sheetData>
    <row r="1" spans="1:51" x14ac:dyDescent="0.2">
      <c r="B1" t="s">
        <v>131</v>
      </c>
      <c r="K1" s="191" t="s">
        <v>152</v>
      </c>
      <c r="L1" t="s">
        <v>180</v>
      </c>
      <c r="M1" s="194" t="s">
        <v>159</v>
      </c>
      <c r="N1">
        <v>0</v>
      </c>
      <c r="O1">
        <f>VLOOKUP(MAIN!C7,M1:N4,2,0)</f>
        <v>1</v>
      </c>
      <c r="Q1" s="194" t="s">
        <v>158</v>
      </c>
      <c r="Y1" s="194" t="s">
        <v>156</v>
      </c>
      <c r="AG1" s="194" t="s">
        <v>157</v>
      </c>
      <c r="AO1" s="194" t="s">
        <v>161</v>
      </c>
      <c r="AP1" s="192" t="s">
        <v>131</v>
      </c>
    </row>
    <row r="2" spans="1:51" x14ac:dyDescent="0.2">
      <c r="B2" s="185" t="s">
        <v>133</v>
      </c>
      <c r="C2" s="185" t="s">
        <v>134</v>
      </c>
      <c r="D2" s="185" t="s">
        <v>135</v>
      </c>
      <c r="E2" s="185" t="s">
        <v>139</v>
      </c>
      <c r="F2" s="185" t="s">
        <v>136</v>
      </c>
      <c r="G2" s="185" t="s">
        <v>137</v>
      </c>
      <c r="H2" s="185" t="s">
        <v>138</v>
      </c>
      <c r="I2" s="186" t="s">
        <v>160</v>
      </c>
      <c r="J2" s="185" t="s">
        <v>183</v>
      </c>
      <c r="K2" s="190" t="s">
        <v>131</v>
      </c>
      <c r="L2">
        <v>50.03</v>
      </c>
      <c r="M2" t="s">
        <v>158</v>
      </c>
      <c r="N2">
        <v>1</v>
      </c>
      <c r="O2">
        <v>3.17</v>
      </c>
      <c r="Q2" s="185" t="s">
        <v>133</v>
      </c>
      <c r="R2" s="185" t="s">
        <v>134</v>
      </c>
      <c r="S2" s="185" t="s">
        <v>135</v>
      </c>
      <c r="T2" s="185" t="s">
        <v>139</v>
      </c>
      <c r="U2" s="185" t="s">
        <v>136</v>
      </c>
      <c r="V2" s="185" t="s">
        <v>137</v>
      </c>
      <c r="W2" s="185" t="s">
        <v>138</v>
      </c>
      <c r="X2" s="186" t="s">
        <v>160</v>
      </c>
      <c r="Y2" s="185" t="s">
        <v>133</v>
      </c>
      <c r="Z2" s="185" t="s">
        <v>134</v>
      </c>
      <c r="AA2" s="185" t="s">
        <v>135</v>
      </c>
      <c r="AB2" s="185" t="s">
        <v>139</v>
      </c>
      <c r="AC2" s="185" t="s">
        <v>136</v>
      </c>
      <c r="AD2" s="185" t="s">
        <v>137</v>
      </c>
      <c r="AE2" s="185" t="s">
        <v>138</v>
      </c>
      <c r="AF2" s="186" t="s">
        <v>160</v>
      </c>
      <c r="AG2" s="185" t="s">
        <v>133</v>
      </c>
      <c r="AH2" s="185" t="s">
        <v>134</v>
      </c>
      <c r="AI2" s="185" t="s">
        <v>135</v>
      </c>
      <c r="AJ2" s="185" t="s">
        <v>139</v>
      </c>
      <c r="AK2" s="185" t="s">
        <v>136</v>
      </c>
      <c r="AL2" s="185" t="s">
        <v>137</v>
      </c>
      <c r="AM2" s="185" t="s">
        <v>138</v>
      </c>
      <c r="AN2" s="186" t="s">
        <v>160</v>
      </c>
      <c r="AO2" s="185" t="s">
        <v>133</v>
      </c>
      <c r="AP2" s="185" t="s">
        <v>134</v>
      </c>
      <c r="AQ2" s="185" t="s">
        <v>135</v>
      </c>
      <c r="AR2" s="185" t="s">
        <v>139</v>
      </c>
      <c r="AS2" s="185" t="s">
        <v>136</v>
      </c>
      <c r="AT2" s="185" t="s">
        <v>137</v>
      </c>
      <c r="AU2" s="185" t="s">
        <v>138</v>
      </c>
      <c r="AV2" s="186" t="s">
        <v>160</v>
      </c>
    </row>
    <row r="3" spans="1:51" x14ac:dyDescent="0.2">
      <c r="A3" s="183" t="s">
        <v>140</v>
      </c>
      <c r="B3" s="179">
        <f>(B4+B5+B6+B7)/4</f>
        <v>101.28691392452052</v>
      </c>
      <c r="C3" s="179">
        <f t="shared" ref="C3:I3" si="0">(C4+C5+C6+C7)/4</f>
        <v>0.34196116251210251</v>
      </c>
      <c r="D3" s="179">
        <f t="shared" si="0"/>
        <v>0.42318552244951141</v>
      </c>
      <c r="E3" s="179">
        <f t="shared" si="0"/>
        <v>2.1594572732413031</v>
      </c>
      <c r="F3" s="179">
        <f t="shared" si="0"/>
        <v>144.9275385455187</v>
      </c>
      <c r="G3" s="179">
        <f t="shared" si="0"/>
        <v>0.48849600096124857</v>
      </c>
      <c r="H3" s="179">
        <f t="shared" si="0"/>
        <v>0.75997626258263828</v>
      </c>
      <c r="I3" s="179">
        <f t="shared" si="0"/>
        <v>1.1501857472946937</v>
      </c>
      <c r="J3" s="229">
        <f t="shared" ref="J3:J14" si="1">AW3</f>
        <v>0.47188412231750138</v>
      </c>
      <c r="K3" s="190" t="s">
        <v>130</v>
      </c>
      <c r="L3" s="188">
        <v>43.12</v>
      </c>
      <c r="M3" t="s">
        <v>156</v>
      </c>
      <c r="N3">
        <v>2</v>
      </c>
      <c r="O3">
        <v>12.95</v>
      </c>
      <c r="P3" s="183" t="s">
        <v>140</v>
      </c>
      <c r="Q3" s="179">
        <f>AVERAGE(Q4:Q7)</f>
        <v>101.28691392452052</v>
      </c>
      <c r="R3" s="179">
        <f t="shared" ref="R3:AV3" si="2">AVERAGE(R4:R7)</f>
        <v>0.34196116251210251</v>
      </c>
      <c r="S3" s="179">
        <f t="shared" si="2"/>
        <v>0.42318552244951141</v>
      </c>
      <c r="T3" s="179">
        <f t="shared" si="2"/>
        <v>2.1594572732413031</v>
      </c>
      <c r="U3" s="179">
        <f t="shared" si="2"/>
        <v>144.9275385455187</v>
      </c>
      <c r="V3" s="179">
        <f t="shared" si="2"/>
        <v>0.48849600096124857</v>
      </c>
      <c r="W3" s="179">
        <f t="shared" si="2"/>
        <v>0.75997626258263828</v>
      </c>
      <c r="X3" s="179">
        <f t="shared" si="2"/>
        <v>1.1501857472946937</v>
      </c>
      <c r="Y3" s="179">
        <f t="shared" si="2"/>
        <v>35.498475814361299</v>
      </c>
      <c r="Z3" s="179">
        <f t="shared" si="2"/>
        <v>0.12530926825052985</v>
      </c>
      <c r="AA3" s="179">
        <f t="shared" si="2"/>
        <v>0.31771833886147188</v>
      </c>
      <c r="AB3" s="179">
        <f t="shared" si="2"/>
        <v>1.3523283325284423</v>
      </c>
      <c r="AC3" s="179">
        <f t="shared" si="2"/>
        <v>71.809663310989009</v>
      </c>
      <c r="AD3" s="179">
        <f t="shared" si="2"/>
        <v>0.20642333290330031</v>
      </c>
      <c r="AE3" s="179">
        <f t="shared" si="2"/>
        <v>0.80042490993382309</v>
      </c>
      <c r="AF3" s="179">
        <f t="shared" si="2"/>
        <v>1.2616790621253782</v>
      </c>
      <c r="AG3" s="179">
        <f t="shared" si="2"/>
        <v>82.312918613287735</v>
      </c>
      <c r="AH3" s="179">
        <f t="shared" si="2"/>
        <v>0.19537779392448662</v>
      </c>
      <c r="AI3" s="179">
        <f t="shared" si="2"/>
        <v>0.35825415006156047</v>
      </c>
      <c r="AJ3" s="179">
        <f t="shared" si="2"/>
        <v>1.4209422024964211</v>
      </c>
      <c r="AK3" s="179">
        <f t="shared" si="2"/>
        <v>154.07660428017437</v>
      </c>
      <c r="AL3" s="179">
        <f t="shared" si="2"/>
        <v>0.30336645449294763</v>
      </c>
      <c r="AM3" s="179">
        <f t="shared" si="2"/>
        <v>0.62544388960028363</v>
      </c>
      <c r="AN3" s="179">
        <f t="shared" si="2"/>
        <v>1.0697428079081237</v>
      </c>
      <c r="AO3" s="179">
        <f t="shared" si="2"/>
        <v>22.009523729636719</v>
      </c>
      <c r="AP3" s="179">
        <f t="shared" si="2"/>
        <v>0.26790374778606874</v>
      </c>
      <c r="AQ3" s="179">
        <f t="shared" si="2"/>
        <v>0.43303795045593341</v>
      </c>
      <c r="AR3" s="179">
        <f t="shared" si="2"/>
        <v>1.2754212086270436</v>
      </c>
      <c r="AS3" s="179">
        <f t="shared" si="2"/>
        <v>24.715890623162267</v>
      </c>
      <c r="AT3" s="179">
        <f t="shared" si="2"/>
        <v>0.34740779336833949</v>
      </c>
      <c r="AU3" s="179">
        <f t="shared" si="2"/>
        <v>0.64795106989478735</v>
      </c>
      <c r="AV3" s="179">
        <f t="shared" si="2"/>
        <v>1.1554475335922456</v>
      </c>
      <c r="AW3" s="230">
        <f>AVERAGE(AW4:AW7)</f>
        <v>0.47188412231750138</v>
      </c>
      <c r="AX3" s="183" t="s">
        <v>140</v>
      </c>
    </row>
    <row r="4" spans="1:51" x14ac:dyDescent="0.2">
      <c r="A4" s="184" t="s">
        <v>141</v>
      </c>
      <c r="B4" s="180">
        <f t="shared" ref="B4:B14" si="3">IF($O$1=1,Q4,IF($O$1=2,Y4,AG4))</f>
        <v>111.66799978184427</v>
      </c>
      <c r="C4" s="180">
        <f t="shared" ref="C4:C14" si="4">IF($O$1=1,R4,IF($O$1=2,Z4,AH4))</f>
        <v>0.42027441596302784</v>
      </c>
      <c r="D4" s="180">
        <f t="shared" ref="D4:D14" si="5">IF($O$1=1,S4,IF($O$1=2,AA4,AI4))</f>
        <v>0.53587180295990844</v>
      </c>
      <c r="E4" s="180">
        <f t="shared" ref="E4:E14" si="6">IF($O$1=1,T4,IF($O$1=2,AB4,AJ4))</f>
        <v>2.2933915948847994</v>
      </c>
      <c r="F4" s="180">
        <f t="shared" ref="F4:F14" si="7">IF($O$1=1,U4,IF($O$1=2,AC4,AK4))</f>
        <v>153.83847958397985</v>
      </c>
      <c r="G4" s="180">
        <f t="shared" ref="G4:G14" si="8">IF($O$1=1,V4,IF($O$1=2,AD4,AL4))</f>
        <v>0.59789045901839899</v>
      </c>
      <c r="H4" s="180">
        <f t="shared" ref="H4:H14" si="9">IF($O$1=1,W4,IF($O$1=2,AE4,AM4))</f>
        <v>0.74254972332583702</v>
      </c>
      <c r="I4" s="180">
        <f t="shared" ref="I4:I14" si="10">IF($O$1=1,X4,IF($O$1=2,AF4,AN4))</f>
        <v>1.1591453833827581</v>
      </c>
      <c r="J4" s="229">
        <f t="shared" si="1"/>
        <v>0.5</v>
      </c>
      <c r="K4" s="190" t="s">
        <v>129</v>
      </c>
      <c r="L4" s="188">
        <v>44.73</v>
      </c>
      <c r="M4" t="s">
        <v>157</v>
      </c>
      <c r="N4">
        <v>3</v>
      </c>
      <c r="O4">
        <v>9.6750000000000007</v>
      </c>
      <c r="P4" s="184" t="s">
        <v>141</v>
      </c>
      <c r="Q4" s="182">
        <f t="shared" ref="Q4:Q13" si="11">Q19*AO4/AO19</f>
        <v>111.66799978184427</v>
      </c>
      <c r="R4" s="182">
        <f t="shared" ref="R4:R14" si="12">R19*AP4/AP19</f>
        <v>0.42027441596302784</v>
      </c>
      <c r="S4" s="182">
        <f t="shared" ref="S4:S14" si="13">S19*AQ4/AQ19</f>
        <v>0.53587180295990844</v>
      </c>
      <c r="T4" s="182">
        <f t="shared" ref="T4:T14" si="14">T19*AR4/AR19</f>
        <v>2.2933915948847994</v>
      </c>
      <c r="U4" s="182">
        <f t="shared" ref="U4:U14" si="15">U19*AS4/AS19</f>
        <v>153.83847958397985</v>
      </c>
      <c r="V4" s="182">
        <f t="shared" ref="V4:V14" si="16">V19*AT4/AT19</f>
        <v>0.59789045901839899</v>
      </c>
      <c r="W4" s="182">
        <f t="shared" ref="W4:W14" si="17">W19*AU4/AU19</f>
        <v>0.74254972332583702</v>
      </c>
      <c r="X4" s="182">
        <f t="shared" ref="X4:X14" si="18">X19*AV4/AV19</f>
        <v>1.1591453833827581</v>
      </c>
      <c r="Y4" s="182">
        <f t="shared" ref="Y4:Y13" si="19">Y19*AO4/AO19</f>
        <v>43.268174035570027</v>
      </c>
      <c r="Z4" s="182">
        <f t="shared" ref="Z4:Z14" si="20">Z19*AP4/AP19</f>
        <v>0.15454342622979467</v>
      </c>
      <c r="AA4" s="182">
        <f t="shared" ref="AA4:AA14" si="21">AA19*AQ4/AQ19</f>
        <v>0.35932642036005352</v>
      </c>
      <c r="AB4" s="182">
        <f t="shared" ref="AB4:AB14" si="22">AB19*AR4/AR19</f>
        <v>1.4922992724082935</v>
      </c>
      <c r="AC4" s="182">
        <f t="shared" ref="AC4:AC14" si="23">AC19*AS4/AS19</f>
        <v>79.332723622213592</v>
      </c>
      <c r="AD4" s="182">
        <f t="shared" ref="AD4:AD14" si="24">AD19*AT4/AT19</f>
        <v>0.25740745677590487</v>
      </c>
      <c r="AE4" s="182">
        <f t="shared" ref="AE4:AE14" si="25">AE19*AU4/AU19</f>
        <v>0.783967058649648</v>
      </c>
      <c r="AF4" s="182">
        <f t="shared" ref="AF4:AF14" si="26">AF19*AV4/AV19</f>
        <v>1.3909363317834282</v>
      </c>
      <c r="AG4" s="182">
        <f t="shared" ref="AG4:AG13" si="27">AG19*AO4/AO19</f>
        <v>92.499647623127913</v>
      </c>
      <c r="AH4" s="182">
        <f t="shared" ref="AH4:AH14" si="28">AH19*AP4/AP19</f>
        <v>0.22424093946009388</v>
      </c>
      <c r="AI4" s="182">
        <f t="shared" ref="AI4:AI14" si="29">AI19*AQ4/AQ19</f>
        <v>0.39797522775815075</v>
      </c>
      <c r="AJ4" s="182">
        <f t="shared" ref="AJ4:AJ14" si="30">AJ19*AR4/AR19</f>
        <v>1.6940244686423893</v>
      </c>
      <c r="AK4" s="182">
        <f t="shared" ref="AK4:AK14" si="31">AK19*AS4/AS19</f>
        <v>182.25764661258589</v>
      </c>
      <c r="AL4" s="182">
        <f t="shared" ref="AL4:AL14" si="32">AL19*AT4/AT19</f>
        <v>0.40137227938446574</v>
      </c>
      <c r="AM4" s="182">
        <f t="shared" ref="AM4:AM14" si="33">AM19*AU4/AU19</f>
        <v>0.65770113061654056</v>
      </c>
      <c r="AN4" s="182">
        <f t="shared" ref="AN4:AN14" si="34">AN19*AV4/AV19</f>
        <v>1.2738863097376334</v>
      </c>
      <c r="AO4" s="180">
        <v>17.700310144943291</v>
      </c>
      <c r="AP4" s="180">
        <v>0.32097202599754249</v>
      </c>
      <c r="AQ4" s="180">
        <v>0.5791014773698675</v>
      </c>
      <c r="AR4" s="180">
        <v>1.2954567401182084</v>
      </c>
      <c r="AS4" s="181">
        <v>20.648844567083177</v>
      </c>
      <c r="AT4" s="181">
        <v>0.40621261479377391</v>
      </c>
      <c r="AU4" s="181">
        <v>0.62874400679921283</v>
      </c>
      <c r="AV4" s="180">
        <v>1.1545927325884502</v>
      </c>
      <c r="AW4" s="198">
        <v>0.5</v>
      </c>
      <c r="AX4" s="184" t="s">
        <v>141</v>
      </c>
    </row>
    <row r="5" spans="1:51" x14ac:dyDescent="0.2">
      <c r="A5" s="183" t="s">
        <v>142</v>
      </c>
      <c r="B5" s="180">
        <f t="shared" si="3"/>
        <v>98.221958451986552</v>
      </c>
      <c r="C5" s="180">
        <f t="shared" si="4"/>
        <v>0.33789272929627845</v>
      </c>
      <c r="D5" s="180">
        <f t="shared" si="5"/>
        <v>0.41429105400632116</v>
      </c>
      <c r="E5" s="180">
        <f t="shared" si="6"/>
        <v>2.0491189456198091</v>
      </c>
      <c r="F5" s="180">
        <f t="shared" si="7"/>
        <v>145.83253320741153</v>
      </c>
      <c r="G5" s="180">
        <f t="shared" si="8"/>
        <v>0.49707362919461678</v>
      </c>
      <c r="H5" s="180">
        <f t="shared" si="9"/>
        <v>0.72782791094953048</v>
      </c>
      <c r="I5" s="180">
        <f t="shared" si="10"/>
        <v>1.0920764251062081</v>
      </c>
      <c r="J5" s="229">
        <f t="shared" si="1"/>
        <v>0.54877788873349098</v>
      </c>
      <c r="K5" s="190" t="s">
        <v>132</v>
      </c>
      <c r="L5">
        <v>75.42</v>
      </c>
      <c r="O5">
        <v>1</v>
      </c>
      <c r="P5" s="183" t="s">
        <v>142</v>
      </c>
      <c r="Q5" s="182">
        <f t="shared" si="11"/>
        <v>98.221958451986552</v>
      </c>
      <c r="R5" s="182">
        <f t="shared" si="12"/>
        <v>0.33789272929627845</v>
      </c>
      <c r="S5" s="182">
        <f t="shared" si="13"/>
        <v>0.41429105400632116</v>
      </c>
      <c r="T5" s="182">
        <f t="shared" si="14"/>
        <v>2.0491189456198091</v>
      </c>
      <c r="U5" s="182">
        <f t="shared" si="15"/>
        <v>145.83253320741153</v>
      </c>
      <c r="V5" s="182">
        <f t="shared" si="16"/>
        <v>0.49707362919461678</v>
      </c>
      <c r="W5" s="182">
        <f t="shared" si="17"/>
        <v>0.72782791094953048</v>
      </c>
      <c r="X5" s="182">
        <f t="shared" si="18"/>
        <v>1.0920764251062081</v>
      </c>
      <c r="Y5" s="182">
        <f t="shared" si="19"/>
        <v>30.531425508625102</v>
      </c>
      <c r="Z5" s="182">
        <f t="shared" si="20"/>
        <v>0.13637196140495797</v>
      </c>
      <c r="AA5" s="182">
        <f t="shared" si="21"/>
        <v>0.32224915716255748</v>
      </c>
      <c r="AB5" s="182">
        <f t="shared" si="22"/>
        <v>1.2965065691059305</v>
      </c>
      <c r="AC5" s="182">
        <f t="shared" si="23"/>
        <v>66.188868658604008</v>
      </c>
      <c r="AD5" s="182">
        <f t="shared" si="24"/>
        <v>0.21578653848373791</v>
      </c>
      <c r="AE5" s="182">
        <f t="shared" si="25"/>
        <v>0.79653718199204737</v>
      </c>
      <c r="AF5" s="182">
        <f t="shared" si="26"/>
        <v>1.1884298074535999</v>
      </c>
      <c r="AG5" s="182">
        <f t="shared" si="27"/>
        <v>65.27074839483447</v>
      </c>
      <c r="AH5" s="182">
        <f t="shared" si="28"/>
        <v>0.19787432883746847</v>
      </c>
      <c r="AI5" s="182">
        <f t="shared" si="29"/>
        <v>0.35690996945934056</v>
      </c>
      <c r="AJ5" s="182">
        <f t="shared" si="30"/>
        <v>1.4717650088219905</v>
      </c>
      <c r="AK5" s="182">
        <f t="shared" si="31"/>
        <v>152.06117832426077</v>
      </c>
      <c r="AL5" s="182">
        <f t="shared" si="32"/>
        <v>0.33647329372864138</v>
      </c>
      <c r="AM5" s="182">
        <f t="shared" si="33"/>
        <v>0.66824670678976117</v>
      </c>
      <c r="AN5" s="182">
        <f t="shared" si="34"/>
        <v>1.0884211068512042</v>
      </c>
      <c r="AO5" s="180">
        <v>22.631072788739196</v>
      </c>
      <c r="AP5" s="180">
        <v>0.28427723019475554</v>
      </c>
      <c r="AQ5" s="180">
        <v>0.42241640770961525</v>
      </c>
      <c r="AR5" s="180">
        <v>1.2645883502527362</v>
      </c>
      <c r="AS5" s="181">
        <v>25.174123204889753</v>
      </c>
      <c r="AT5" s="181">
        <v>0.3604974872876136</v>
      </c>
      <c r="AU5" s="181">
        <v>0.63842884260451505</v>
      </c>
      <c r="AV5" s="180">
        <v>1.1447860144433522</v>
      </c>
      <c r="AW5" s="199">
        <v>0.54877788873349098</v>
      </c>
      <c r="AX5" s="183" t="s">
        <v>142</v>
      </c>
    </row>
    <row r="6" spans="1:51" x14ac:dyDescent="0.2">
      <c r="A6" s="184" t="s">
        <v>143</v>
      </c>
      <c r="B6" s="180">
        <f t="shared" si="3"/>
        <v>115.58551881579312</v>
      </c>
      <c r="C6" s="180">
        <f t="shared" si="4"/>
        <v>0.35921260930481858</v>
      </c>
      <c r="D6" s="180">
        <f t="shared" si="5"/>
        <v>0.41008705087182334</v>
      </c>
      <c r="E6" s="180">
        <f t="shared" si="6"/>
        <v>2.1296005822508817</v>
      </c>
      <c r="F6" s="180">
        <f t="shared" si="7"/>
        <v>116.44976585713812</v>
      </c>
      <c r="G6" s="180">
        <f t="shared" si="8"/>
        <v>0.39904227544534415</v>
      </c>
      <c r="H6" s="180">
        <f t="shared" si="9"/>
        <v>0.94526424482615512</v>
      </c>
      <c r="I6" s="180">
        <f t="shared" si="10"/>
        <v>0.96934165251193283</v>
      </c>
      <c r="J6" s="229">
        <f t="shared" si="1"/>
        <v>0.49875860053651427</v>
      </c>
      <c r="K6" s="195" t="s">
        <v>120</v>
      </c>
      <c r="L6" t="s">
        <v>181</v>
      </c>
      <c r="P6" s="184" t="s">
        <v>143</v>
      </c>
      <c r="Q6" s="182">
        <f t="shared" si="11"/>
        <v>115.58551881579312</v>
      </c>
      <c r="R6" s="182">
        <f t="shared" si="12"/>
        <v>0.35921260930481858</v>
      </c>
      <c r="S6" s="182">
        <f t="shared" si="13"/>
        <v>0.41008705087182334</v>
      </c>
      <c r="T6" s="182">
        <f t="shared" si="14"/>
        <v>2.1296005822508817</v>
      </c>
      <c r="U6" s="182">
        <f t="shared" si="15"/>
        <v>116.44976585713812</v>
      </c>
      <c r="V6" s="182">
        <f t="shared" si="16"/>
        <v>0.39904227544534415</v>
      </c>
      <c r="W6" s="182">
        <f t="shared" si="17"/>
        <v>0.94526424482615512</v>
      </c>
      <c r="X6" s="182">
        <f t="shared" si="18"/>
        <v>0.96934165251193283</v>
      </c>
      <c r="Y6" s="182">
        <f t="shared" si="19"/>
        <v>25.430534662218406</v>
      </c>
      <c r="Z6" s="182">
        <f t="shared" si="20"/>
        <v>0.10335656529275092</v>
      </c>
      <c r="AA6" s="182">
        <f t="shared" si="21"/>
        <v>0.19699192684038869</v>
      </c>
      <c r="AB6" s="182">
        <f t="shared" si="22"/>
        <v>1.3614693798165032</v>
      </c>
      <c r="AC6" s="182">
        <f t="shared" si="23"/>
        <v>49.963244822350489</v>
      </c>
      <c r="AD6" s="182">
        <f t="shared" si="24"/>
        <v>0.16207281512490876</v>
      </c>
      <c r="AE6" s="182">
        <f t="shared" si="25"/>
        <v>0.85376214003871342</v>
      </c>
      <c r="AF6" s="182">
        <f t="shared" si="26"/>
        <v>1.2715149325217225</v>
      </c>
      <c r="AG6" s="182">
        <f t="shared" si="27"/>
        <v>64.35890796103493</v>
      </c>
      <c r="AH6" s="182">
        <f t="shared" si="28"/>
        <v>0.17753504779792018</v>
      </c>
      <c r="AI6" s="182">
        <f t="shared" si="29"/>
        <v>0.32626159901885665</v>
      </c>
      <c r="AJ6" s="182">
        <f t="shared" si="30"/>
        <v>1.32350619889348</v>
      </c>
      <c r="AK6" s="182">
        <f t="shared" si="31"/>
        <v>98.86567960692318</v>
      </c>
      <c r="AL6" s="182">
        <f t="shared" si="32"/>
        <v>0.21766968746913701</v>
      </c>
      <c r="AM6" s="182">
        <f t="shared" si="33"/>
        <v>0.70451956832380802</v>
      </c>
      <c r="AN6" s="182">
        <f t="shared" si="34"/>
        <v>0.95923172731774442</v>
      </c>
      <c r="AO6" s="180">
        <v>10.124125283502337</v>
      </c>
      <c r="AP6" s="180">
        <v>0.15031158089732619</v>
      </c>
      <c r="AQ6" s="180">
        <v>0.26488868383007186</v>
      </c>
      <c r="AR6" s="180">
        <v>1.3122728014070737</v>
      </c>
      <c r="AS6" s="181">
        <v>13.187957967582502</v>
      </c>
      <c r="AT6" s="181">
        <v>0.24038695048932968</v>
      </c>
      <c r="AU6" s="181">
        <v>0.73479590423050378</v>
      </c>
      <c r="AV6" s="180">
        <v>1.2246459785260653</v>
      </c>
      <c r="AW6" s="198">
        <v>0.49875860053651427</v>
      </c>
      <c r="AX6" s="184" t="s">
        <v>143</v>
      </c>
    </row>
    <row r="7" spans="1:51" x14ac:dyDescent="0.2">
      <c r="A7" s="183" t="s">
        <v>144</v>
      </c>
      <c r="B7" s="180">
        <f t="shared" si="3"/>
        <v>79.672178648458114</v>
      </c>
      <c r="C7" s="180">
        <f t="shared" si="4"/>
        <v>0.25046489548428524</v>
      </c>
      <c r="D7" s="180">
        <f t="shared" si="5"/>
        <v>0.33249218195999264</v>
      </c>
      <c r="E7" s="180">
        <f t="shared" si="6"/>
        <v>2.1657179702097213</v>
      </c>
      <c r="F7" s="180">
        <f t="shared" si="7"/>
        <v>163.58937553354528</v>
      </c>
      <c r="G7" s="180">
        <f t="shared" si="8"/>
        <v>0.45997764018663417</v>
      </c>
      <c r="H7" s="180">
        <f t="shared" si="9"/>
        <v>0.62426317122903052</v>
      </c>
      <c r="I7" s="180">
        <f t="shared" si="10"/>
        <v>1.3801795281778753</v>
      </c>
      <c r="J7" s="229">
        <f t="shared" si="1"/>
        <v>0.34</v>
      </c>
      <c r="L7" s="224">
        <v>10000</v>
      </c>
      <c r="M7" s="223">
        <f>L10/L7</f>
        <v>5.73</v>
      </c>
      <c r="P7" s="183" t="s">
        <v>144</v>
      </c>
      <c r="Q7" s="182">
        <f t="shared" si="11"/>
        <v>79.672178648458114</v>
      </c>
      <c r="R7" s="182">
        <f t="shared" si="12"/>
        <v>0.25046489548428524</v>
      </c>
      <c r="S7" s="182">
        <f t="shared" si="13"/>
        <v>0.33249218195999264</v>
      </c>
      <c r="T7" s="182">
        <f t="shared" si="14"/>
        <v>2.1657179702097213</v>
      </c>
      <c r="U7" s="182">
        <f t="shared" si="15"/>
        <v>163.58937553354528</v>
      </c>
      <c r="V7" s="182">
        <f t="shared" si="16"/>
        <v>0.45997764018663417</v>
      </c>
      <c r="W7" s="182">
        <f t="shared" si="17"/>
        <v>0.62426317122903052</v>
      </c>
      <c r="X7" s="182">
        <f t="shared" si="18"/>
        <v>1.3801795281778753</v>
      </c>
      <c r="Y7" s="182">
        <f t="shared" si="19"/>
        <v>42.763769051031652</v>
      </c>
      <c r="Z7" s="182">
        <f t="shared" si="20"/>
        <v>0.10696512007461578</v>
      </c>
      <c r="AA7" s="182">
        <f t="shared" si="21"/>
        <v>0.39230585108288779</v>
      </c>
      <c r="AB7" s="182">
        <f t="shared" si="22"/>
        <v>1.2590381087830427</v>
      </c>
      <c r="AC7" s="182">
        <f t="shared" si="23"/>
        <v>91.753816140787947</v>
      </c>
      <c r="AD7" s="182">
        <f t="shared" si="24"/>
        <v>0.1904265212286497</v>
      </c>
      <c r="AE7" s="182">
        <f t="shared" si="25"/>
        <v>0.76743325905488324</v>
      </c>
      <c r="AF7" s="182">
        <f t="shared" si="26"/>
        <v>1.1958351767427615</v>
      </c>
      <c r="AG7" s="182">
        <f t="shared" si="27"/>
        <v>107.12237047415364</v>
      </c>
      <c r="AH7" s="182">
        <f t="shared" si="28"/>
        <v>0.18186085960246398</v>
      </c>
      <c r="AI7" s="182">
        <f t="shared" si="29"/>
        <v>0.35186980400989387</v>
      </c>
      <c r="AJ7" s="182">
        <f t="shared" si="30"/>
        <v>1.1944731336278245</v>
      </c>
      <c r="AK7" s="182">
        <f t="shared" si="31"/>
        <v>183.12191257692751</v>
      </c>
      <c r="AL7" s="182">
        <f t="shared" si="32"/>
        <v>0.25795055738954648</v>
      </c>
      <c r="AM7" s="182">
        <f t="shared" si="33"/>
        <v>0.47130815267102488</v>
      </c>
      <c r="AN7" s="182">
        <f t="shared" si="34"/>
        <v>0.95743208772591271</v>
      </c>
      <c r="AO7" s="180">
        <v>37.58258670136204</v>
      </c>
      <c r="AP7" s="180">
        <v>0.31605415405465082</v>
      </c>
      <c r="AQ7" s="180">
        <v>0.46574523291417885</v>
      </c>
      <c r="AR7" s="180">
        <v>1.2293669427301557</v>
      </c>
      <c r="AS7" s="180">
        <v>39.852636753093627</v>
      </c>
      <c r="AT7" s="180">
        <v>0.38253412090264083</v>
      </c>
      <c r="AU7" s="181">
        <v>0.58983552594491773</v>
      </c>
      <c r="AV7" s="180">
        <v>1.0977654088111151</v>
      </c>
      <c r="AW7" s="198">
        <v>0.34</v>
      </c>
      <c r="AX7" s="183" t="s">
        <v>144</v>
      </c>
    </row>
    <row r="8" spans="1:51" x14ac:dyDescent="0.2">
      <c r="A8" s="184" t="s">
        <v>145</v>
      </c>
      <c r="B8" s="180">
        <f t="shared" si="3"/>
        <v>62.774791502423781</v>
      </c>
      <c r="C8" s="180">
        <f t="shared" si="4"/>
        <v>0.20840760864790681</v>
      </c>
      <c r="D8" s="180">
        <f t="shared" si="5"/>
        <v>0.26305150718783521</v>
      </c>
      <c r="E8" s="180">
        <f t="shared" si="6"/>
        <v>1.5675802436345905</v>
      </c>
      <c r="F8" s="180">
        <f t="shared" si="7"/>
        <v>51.943769166688369</v>
      </c>
      <c r="G8" s="180">
        <f t="shared" si="8"/>
        <v>0.25950905562867815</v>
      </c>
      <c r="H8" s="180">
        <f t="shared" si="9"/>
        <v>0.33684357607959697</v>
      </c>
      <c r="I8" s="180">
        <f t="shared" si="10"/>
        <v>0.74761809735862084</v>
      </c>
      <c r="J8" s="229">
        <f t="shared" si="1"/>
        <v>0.25</v>
      </c>
      <c r="L8" s="224">
        <v>5902</v>
      </c>
      <c r="M8" s="223">
        <f>L10/L8</f>
        <v>9.7085733649610297</v>
      </c>
      <c r="P8" s="184" t="s">
        <v>145</v>
      </c>
      <c r="Q8" s="182">
        <f t="shared" si="11"/>
        <v>62.774791502423781</v>
      </c>
      <c r="R8" s="182">
        <f t="shared" si="12"/>
        <v>0.20840760864790681</v>
      </c>
      <c r="S8" s="182">
        <f t="shared" si="13"/>
        <v>0.26305150718783521</v>
      </c>
      <c r="T8" s="182">
        <f t="shared" si="14"/>
        <v>1.5675802436345905</v>
      </c>
      <c r="U8" s="182">
        <f t="shared" si="15"/>
        <v>51.943769166688369</v>
      </c>
      <c r="V8" s="182">
        <f t="shared" si="16"/>
        <v>0.25950905562867815</v>
      </c>
      <c r="W8" s="182">
        <f t="shared" si="17"/>
        <v>0.33684357607959697</v>
      </c>
      <c r="X8" s="182">
        <f t="shared" si="18"/>
        <v>0.74761809735862084</v>
      </c>
      <c r="Y8" s="182">
        <f t="shared" si="19"/>
        <v>21.15850516519215</v>
      </c>
      <c r="Z8" s="182">
        <f t="shared" si="20"/>
        <v>8.6252385534650089E-2</v>
      </c>
      <c r="AA8" s="182">
        <f t="shared" si="21"/>
        <v>0.1756942070170571</v>
      </c>
      <c r="AB8" s="182">
        <f t="shared" si="22"/>
        <v>1.2919063197249852</v>
      </c>
      <c r="AC8" s="182">
        <f t="shared" si="23"/>
        <v>28.110581667624441</v>
      </c>
      <c r="AD8" s="182">
        <f t="shared" si="24"/>
        <v>0.13894555235573514</v>
      </c>
      <c r="AE8" s="182">
        <f t="shared" si="25"/>
        <v>0.42576849357171032</v>
      </c>
      <c r="AF8" s="182">
        <f t="shared" si="26"/>
        <v>1.1317040871111512</v>
      </c>
      <c r="AG8" s="182">
        <f t="shared" si="27"/>
        <v>14.071430455586272</v>
      </c>
      <c r="AH8" s="182">
        <f t="shared" si="28"/>
        <v>4.7524853729983628E-2</v>
      </c>
      <c r="AI8" s="182">
        <f t="shared" si="29"/>
        <v>0.15070582103987459</v>
      </c>
      <c r="AJ8" s="182">
        <f t="shared" si="30"/>
        <v>1.3333602047078676</v>
      </c>
      <c r="AK8" s="182">
        <f t="shared" si="31"/>
        <v>38.045766692935722</v>
      </c>
      <c r="AL8" s="182">
        <f t="shared" si="32"/>
        <v>0.15580362730679739</v>
      </c>
      <c r="AM8" s="182">
        <f t="shared" si="33"/>
        <v>0.3139275326231501</v>
      </c>
      <c r="AN8" s="182">
        <f t="shared" si="34"/>
        <v>1.0214140421968096</v>
      </c>
      <c r="AO8" s="180">
        <v>3.6879515202036046</v>
      </c>
      <c r="AP8" s="180">
        <v>0.10094431397370418</v>
      </c>
      <c r="AQ8" s="180">
        <v>0.13004048628935835</v>
      </c>
      <c r="AR8" s="180">
        <v>1.3483515400439501</v>
      </c>
      <c r="AS8" s="180">
        <v>6.7974227666854858</v>
      </c>
      <c r="AT8" s="180">
        <v>0.20352001022547483</v>
      </c>
      <c r="AU8" s="181">
        <v>0.31820594519376755</v>
      </c>
      <c r="AV8" s="180">
        <v>1.2553940415382385</v>
      </c>
      <c r="AW8" s="200">
        <v>0.25</v>
      </c>
      <c r="AX8" s="184" t="s">
        <v>145</v>
      </c>
      <c r="AY8" s="200"/>
    </row>
    <row r="9" spans="1:51" x14ac:dyDescent="0.2">
      <c r="A9" s="183" t="s">
        <v>146</v>
      </c>
      <c r="B9" s="180">
        <f t="shared" si="3"/>
        <v>80.338310232624124</v>
      </c>
      <c r="C9" s="180">
        <f t="shared" si="4"/>
        <v>0.16426596641986188</v>
      </c>
      <c r="D9" s="180">
        <f t="shared" si="5"/>
        <v>0.20797925207616716</v>
      </c>
      <c r="E9" s="180">
        <f t="shared" si="6"/>
        <v>1.4985263246045648</v>
      </c>
      <c r="F9" s="180">
        <f t="shared" si="7"/>
        <v>76.123612373081741</v>
      </c>
      <c r="G9" s="180">
        <f t="shared" si="8"/>
        <v>0.20956159998097398</v>
      </c>
      <c r="H9" s="180">
        <f t="shared" si="9"/>
        <v>0.27850003994644007</v>
      </c>
      <c r="I9" s="180">
        <f t="shared" si="10"/>
        <v>0.80078682720312877</v>
      </c>
      <c r="J9" s="229">
        <f t="shared" si="1"/>
        <v>9.2713205199928053E-3</v>
      </c>
      <c r="L9" s="224">
        <v>4300</v>
      </c>
      <c r="M9" s="223">
        <f>L10/L9</f>
        <v>13.325581395348838</v>
      </c>
      <c r="P9" s="183" t="s">
        <v>146</v>
      </c>
      <c r="Q9" s="182">
        <f t="shared" si="11"/>
        <v>80.338310232624124</v>
      </c>
      <c r="R9" s="182">
        <f t="shared" si="12"/>
        <v>0.16426596641986188</v>
      </c>
      <c r="S9" s="182">
        <f t="shared" si="13"/>
        <v>0.20797925207616716</v>
      </c>
      <c r="T9" s="182">
        <f t="shared" si="14"/>
        <v>1.4985263246045648</v>
      </c>
      <c r="U9" s="182">
        <f t="shared" si="15"/>
        <v>76.123612373081741</v>
      </c>
      <c r="V9" s="182">
        <f t="shared" si="16"/>
        <v>0.20956159998097398</v>
      </c>
      <c r="W9" s="182">
        <f t="shared" si="17"/>
        <v>0.27850003994644007</v>
      </c>
      <c r="X9" s="182">
        <f t="shared" si="18"/>
        <v>0.80078682720312877</v>
      </c>
      <c r="Y9" s="182">
        <f t="shared" si="19"/>
        <v>41.534927783075084</v>
      </c>
      <c r="Z9" s="182">
        <f t="shared" si="20"/>
        <v>0.10427884256291736</v>
      </c>
      <c r="AA9" s="182">
        <f t="shared" si="21"/>
        <v>0.10690832612192372</v>
      </c>
      <c r="AB9" s="182">
        <f t="shared" si="22"/>
        <v>1.2852026116736546</v>
      </c>
      <c r="AC9" s="182">
        <f t="shared" si="23"/>
        <v>48.558390188001972</v>
      </c>
      <c r="AD9" s="182">
        <f t="shared" si="24"/>
        <v>0.1322550783217929</v>
      </c>
      <c r="AE9" s="182">
        <f t="shared" si="25"/>
        <v>0.30969240462742931</v>
      </c>
      <c r="AF9" s="182">
        <f t="shared" si="26"/>
        <v>1.2725985063541101</v>
      </c>
      <c r="AG9" s="182">
        <f t="shared" si="27"/>
        <v>37.816634225934408</v>
      </c>
      <c r="AH9" s="182">
        <f t="shared" si="28"/>
        <v>4.1588092274793494E-2</v>
      </c>
      <c r="AI9" s="182">
        <f t="shared" si="29"/>
        <v>0.11429143642102033</v>
      </c>
      <c r="AJ9" s="182">
        <f t="shared" si="30"/>
        <v>1.0176710119730528</v>
      </c>
      <c r="AK9" s="182">
        <f t="shared" si="31"/>
        <v>84.246217729169942</v>
      </c>
      <c r="AL9" s="182">
        <f t="shared" si="32"/>
        <v>0.10050828722868123</v>
      </c>
      <c r="AM9" s="182">
        <f t="shared" si="33"/>
        <v>0.20122706457804979</v>
      </c>
      <c r="AN9" s="182">
        <f t="shared" si="34"/>
        <v>0.88518874681804471</v>
      </c>
      <c r="AO9" s="180">
        <v>9.9112818787482517</v>
      </c>
      <c r="AP9" s="180">
        <v>0.13148881603872831</v>
      </c>
      <c r="AQ9" s="180">
        <v>0.17825961857495939</v>
      </c>
      <c r="AR9" s="180">
        <v>1.1775899454951286</v>
      </c>
      <c r="AS9" s="180">
        <v>11.672178402543068</v>
      </c>
      <c r="AT9" s="180">
        <v>0.18730777548626065</v>
      </c>
      <c r="AU9" s="181">
        <v>0.27657035551965237</v>
      </c>
      <c r="AV9" s="180">
        <v>1.1154009103775024</v>
      </c>
      <c r="AW9" s="200">
        <v>9.2713205199928053E-3</v>
      </c>
      <c r="AX9" s="183" t="s">
        <v>146</v>
      </c>
      <c r="AY9" s="200"/>
    </row>
    <row r="10" spans="1:51" x14ac:dyDescent="0.2">
      <c r="A10" s="184" t="s">
        <v>147</v>
      </c>
      <c r="B10" s="180">
        <f t="shared" si="3"/>
        <v>0.37157998699173489</v>
      </c>
      <c r="C10" s="180">
        <f t="shared" si="4"/>
        <v>3.2100763745100423E-2</v>
      </c>
      <c r="D10" s="180">
        <f t="shared" si="5"/>
        <v>4.9535967207815182E-2</v>
      </c>
      <c r="E10" s="180">
        <f t="shared" si="6"/>
        <v>1.0556615415029227</v>
      </c>
      <c r="F10" s="180">
        <f t="shared" si="7"/>
        <v>1.0915914027690889</v>
      </c>
      <c r="G10" s="180">
        <f t="shared" si="8"/>
        <v>4.1440288443118339E-2</v>
      </c>
      <c r="H10" s="180">
        <f t="shared" si="9"/>
        <v>6.8916266411542873E-2</v>
      </c>
      <c r="I10" s="180">
        <f t="shared" si="10"/>
        <v>1.0436705112457276</v>
      </c>
      <c r="J10" s="229">
        <f t="shared" si="1"/>
        <v>2.2040368675694155E-3</v>
      </c>
      <c r="L10" s="224">
        <v>57300</v>
      </c>
      <c r="P10" s="184" t="s">
        <v>147</v>
      </c>
      <c r="Q10" s="182">
        <f t="shared" si="11"/>
        <v>0.37157998699173489</v>
      </c>
      <c r="R10" s="182">
        <f t="shared" si="12"/>
        <v>3.2100763745100423E-2</v>
      </c>
      <c r="S10" s="182">
        <f t="shared" si="13"/>
        <v>4.9535967207815182E-2</v>
      </c>
      <c r="T10" s="182">
        <f t="shared" si="14"/>
        <v>1.0556615415029227</v>
      </c>
      <c r="U10" s="182">
        <f t="shared" si="15"/>
        <v>1.0915914027690889</v>
      </c>
      <c r="V10" s="182">
        <f t="shared" si="16"/>
        <v>4.1440288443118339E-2</v>
      </c>
      <c r="W10" s="182">
        <f t="shared" si="17"/>
        <v>6.8916266411542873E-2</v>
      </c>
      <c r="X10" s="182">
        <f t="shared" si="18"/>
        <v>1.0436705112457276</v>
      </c>
      <c r="Y10" s="182">
        <f t="shared" si="19"/>
        <v>2.916604090696548</v>
      </c>
      <c r="Z10" s="182">
        <f t="shared" si="20"/>
        <v>2.6080537254194042E-2</v>
      </c>
      <c r="AA10" s="182">
        <f t="shared" si="21"/>
        <v>0.17094636393639967</v>
      </c>
      <c r="AB10" s="182">
        <f t="shared" si="22"/>
        <v>1.2254771565705223</v>
      </c>
      <c r="AC10" s="182">
        <f t="shared" si="23"/>
        <v>2.270301296583269</v>
      </c>
      <c r="AD10" s="182">
        <f t="shared" si="24"/>
        <v>4.0080685154802745E-2</v>
      </c>
      <c r="AE10" s="182">
        <f t="shared" si="25"/>
        <v>0.14369320296234647</v>
      </c>
      <c r="AF10" s="182">
        <f t="shared" si="26"/>
        <v>1.0622838463297746</v>
      </c>
      <c r="AG10" s="182">
        <f t="shared" si="27"/>
        <v>0.4472456221538687</v>
      </c>
      <c r="AH10" s="182">
        <f t="shared" si="28"/>
        <v>5.7683270850673575E-2</v>
      </c>
      <c r="AI10" s="182">
        <f t="shared" si="29"/>
        <v>0.19490870465860885</v>
      </c>
      <c r="AJ10" s="182">
        <f t="shared" si="30"/>
        <v>1.5434843711853727</v>
      </c>
      <c r="AK10" s="182">
        <f t="shared" si="31"/>
        <v>0.26711739866486833</v>
      </c>
      <c r="AL10" s="182">
        <f t="shared" si="32"/>
        <v>6.8017167734414311E-2</v>
      </c>
      <c r="AM10" s="182">
        <f t="shared" si="33"/>
        <v>0.1187126962989031</v>
      </c>
      <c r="AN10" s="182">
        <f t="shared" si="34"/>
        <v>1.2012511605787108</v>
      </c>
      <c r="AO10" s="180">
        <v>0.1172176615115883</v>
      </c>
      <c r="AP10" s="180">
        <v>3.2100763745100423E-2</v>
      </c>
      <c r="AQ10" s="180">
        <v>4.9535967207815182E-2</v>
      </c>
      <c r="AR10" s="180">
        <v>1.0556615415029227</v>
      </c>
      <c r="AS10" s="180">
        <v>0.34435060024261477</v>
      </c>
      <c r="AT10" s="180">
        <v>4.1440288443118332E-2</v>
      </c>
      <c r="AU10" s="181">
        <v>6.8916266411542887E-2</v>
      </c>
      <c r="AV10" s="180">
        <v>1.0436705112457276</v>
      </c>
      <c r="AW10" s="200">
        <v>2.2040368675694155E-3</v>
      </c>
      <c r="AX10" s="184" t="s">
        <v>147</v>
      </c>
      <c r="AY10" s="200"/>
    </row>
    <row r="11" spans="1:51" x14ac:dyDescent="0.2">
      <c r="A11" s="183" t="s">
        <v>148</v>
      </c>
      <c r="B11" s="180">
        <f t="shared" si="3"/>
        <v>71.897280356353832</v>
      </c>
      <c r="C11" s="180">
        <f t="shared" si="4"/>
        <v>0.25043344388193373</v>
      </c>
      <c r="D11" s="180">
        <f t="shared" si="5"/>
        <v>0.31646259045920805</v>
      </c>
      <c r="E11" s="180">
        <f t="shared" si="6"/>
        <v>1.5530864661594579</v>
      </c>
      <c r="F11" s="180">
        <f t="shared" si="7"/>
        <v>60.342252022812161</v>
      </c>
      <c r="G11" s="180">
        <f t="shared" si="8"/>
        <v>0.3108144673146056</v>
      </c>
      <c r="H11" s="180">
        <f t="shared" si="9"/>
        <v>0.40062420987999559</v>
      </c>
      <c r="I11" s="180">
        <f t="shared" si="10"/>
        <v>0.78658291370109468</v>
      </c>
      <c r="J11" s="229">
        <f t="shared" si="1"/>
        <v>4.8416280128152868E-3</v>
      </c>
      <c r="P11" s="183" t="s">
        <v>148</v>
      </c>
      <c r="Q11" s="182">
        <f t="shared" si="11"/>
        <v>71.897280356353832</v>
      </c>
      <c r="R11" s="182">
        <f t="shared" si="12"/>
        <v>0.25043344388193373</v>
      </c>
      <c r="S11" s="182">
        <f t="shared" si="13"/>
        <v>0.31646259045920805</v>
      </c>
      <c r="T11" s="182">
        <f t="shared" si="14"/>
        <v>1.5530864661594579</v>
      </c>
      <c r="U11" s="182">
        <f t="shared" si="15"/>
        <v>60.342252022812161</v>
      </c>
      <c r="V11" s="182">
        <f t="shared" si="16"/>
        <v>0.3108144673146056</v>
      </c>
      <c r="W11" s="182">
        <f t="shared" si="17"/>
        <v>0.40062420987999559</v>
      </c>
      <c r="X11" s="182">
        <f t="shared" si="18"/>
        <v>0.78658291370109468</v>
      </c>
      <c r="Y11" s="182">
        <f t="shared" si="19"/>
        <v>24.896615550782233</v>
      </c>
      <c r="Z11" s="182">
        <f t="shared" si="20"/>
        <v>0.10648244591670501</v>
      </c>
      <c r="AA11" s="182">
        <f t="shared" si="21"/>
        <v>0.11278963569451989</v>
      </c>
      <c r="AB11" s="182">
        <f t="shared" si="22"/>
        <v>1.287514592268713</v>
      </c>
      <c r="AC11" s="182">
        <f t="shared" si="23"/>
        <v>32.449578983218537</v>
      </c>
      <c r="AD11" s="182">
        <f t="shared" si="24"/>
        <v>0.16536535882281006</v>
      </c>
      <c r="AE11" s="182">
        <f t="shared" si="25"/>
        <v>0.42037379662393992</v>
      </c>
      <c r="AF11" s="182">
        <f t="shared" si="26"/>
        <v>1.2524224161744695</v>
      </c>
      <c r="AG11" s="182">
        <f t="shared" si="27"/>
        <v>19.528763348176692</v>
      </c>
      <c r="AH11" s="182">
        <f t="shared" si="28"/>
        <v>0.12374591999017105</v>
      </c>
      <c r="AI11" s="182">
        <f t="shared" si="29"/>
        <v>0.21168158294357822</v>
      </c>
      <c r="AJ11" s="182">
        <f t="shared" si="30"/>
        <v>1.1618985795380163</v>
      </c>
      <c r="AK11" s="182">
        <f t="shared" si="31"/>
        <v>25.348470969271865</v>
      </c>
      <c r="AL11" s="182">
        <f t="shared" si="32"/>
        <v>0.19138402306874061</v>
      </c>
      <c r="AM11" s="182">
        <f t="shared" si="33"/>
        <v>0.32556291125967923</v>
      </c>
      <c r="AN11" s="182">
        <f t="shared" si="34"/>
        <v>0.93675228669984989</v>
      </c>
      <c r="AO11" s="180">
        <v>5.1182523841428429</v>
      </c>
      <c r="AP11" s="180">
        <v>0.19810563872180514</v>
      </c>
      <c r="AQ11" s="180">
        <v>0.2697211616813901</v>
      </c>
      <c r="AR11" s="180">
        <v>1.2229395758892809</v>
      </c>
      <c r="AS11" s="180">
        <v>7.0294256380626132</v>
      </c>
      <c r="AT11" s="180">
        <v>0.26101758557238747</v>
      </c>
      <c r="AU11" s="181">
        <v>0.38529587111302782</v>
      </c>
      <c r="AV11" s="180">
        <v>1.1328806366239275</v>
      </c>
      <c r="AW11" s="200">
        <v>4.8416280128152868E-3</v>
      </c>
      <c r="AX11" s="183" t="s">
        <v>148</v>
      </c>
      <c r="AY11" s="200"/>
    </row>
    <row r="12" spans="1:51" x14ac:dyDescent="0.2">
      <c r="A12" s="184" t="s">
        <v>149</v>
      </c>
      <c r="B12" s="180">
        <f t="shared" si="3"/>
        <v>76.126415112014584</v>
      </c>
      <c r="C12" s="180">
        <f t="shared" si="4"/>
        <v>0.24451206827210079</v>
      </c>
      <c r="D12" s="180">
        <f t="shared" si="5"/>
        <v>0.30895089653472863</v>
      </c>
      <c r="E12" s="180">
        <f t="shared" si="6"/>
        <v>1.5699844820657289</v>
      </c>
      <c r="F12" s="180">
        <f t="shared" si="7"/>
        <v>70.784614552178823</v>
      </c>
      <c r="G12" s="180">
        <f t="shared" si="8"/>
        <v>0.33267845871558482</v>
      </c>
      <c r="H12" s="180">
        <f t="shared" si="9"/>
        <v>0.4244364746277573</v>
      </c>
      <c r="I12" s="180">
        <f t="shared" si="10"/>
        <v>0.80635569755395409</v>
      </c>
      <c r="J12" s="229">
        <f t="shared" si="1"/>
        <v>1.5527885014844067E-2</v>
      </c>
      <c r="M12" s="187"/>
      <c r="P12" s="184" t="s">
        <v>149</v>
      </c>
      <c r="Q12" s="182">
        <f t="shared" si="11"/>
        <v>76.126415112014584</v>
      </c>
      <c r="R12" s="182">
        <f t="shared" si="12"/>
        <v>0.24451206827210079</v>
      </c>
      <c r="S12" s="182">
        <f t="shared" si="13"/>
        <v>0.30895089653472863</v>
      </c>
      <c r="T12" s="182">
        <f t="shared" si="14"/>
        <v>1.5699844820657289</v>
      </c>
      <c r="U12" s="182">
        <f t="shared" si="15"/>
        <v>70.784614552178823</v>
      </c>
      <c r="V12" s="182">
        <f t="shared" si="16"/>
        <v>0.33267845871558482</v>
      </c>
      <c r="W12" s="182">
        <f t="shared" si="17"/>
        <v>0.4244364746277573</v>
      </c>
      <c r="X12" s="182">
        <f t="shared" si="18"/>
        <v>0.80635569755395409</v>
      </c>
      <c r="Y12" s="182">
        <f t="shared" si="19"/>
        <v>30.563945338454221</v>
      </c>
      <c r="Z12" s="182">
        <f t="shared" si="20"/>
        <v>0.12054027473875302</v>
      </c>
      <c r="AA12" s="182">
        <f t="shared" si="21"/>
        <v>0.1657539877255379</v>
      </c>
      <c r="AB12" s="182">
        <f t="shared" si="22"/>
        <v>1.2208407440474789</v>
      </c>
      <c r="AC12" s="182">
        <f t="shared" si="23"/>
        <v>38.34928368033227</v>
      </c>
      <c r="AD12" s="182">
        <f t="shared" si="24"/>
        <v>0.17831949499237418</v>
      </c>
      <c r="AE12" s="182">
        <f t="shared" si="25"/>
        <v>0.45167699991504362</v>
      </c>
      <c r="AF12" s="182">
        <f t="shared" si="26"/>
        <v>1.1694903553895075</v>
      </c>
      <c r="AG12" s="182">
        <f t="shared" si="27"/>
        <v>25.438191170398952</v>
      </c>
      <c r="AH12" s="182">
        <f t="shared" si="28"/>
        <v>0.1134353129844501</v>
      </c>
      <c r="AI12" s="182">
        <f t="shared" si="29"/>
        <v>0.21258263310204054</v>
      </c>
      <c r="AJ12" s="182">
        <f t="shared" si="30"/>
        <v>1.0749763895997386</v>
      </c>
      <c r="AK12" s="182">
        <f t="shared" si="31"/>
        <v>34.769582894435523</v>
      </c>
      <c r="AL12" s="182">
        <f t="shared" si="32"/>
        <v>0.18280174380932879</v>
      </c>
      <c r="AM12" s="182">
        <f t="shared" si="33"/>
        <v>0.31498616916409133</v>
      </c>
      <c r="AN12" s="182">
        <f t="shared" si="34"/>
        <v>0.88776659012951853</v>
      </c>
      <c r="AO12" s="180">
        <v>6.6670418543595042</v>
      </c>
      <c r="AP12" s="180">
        <v>0.23075673622459855</v>
      </c>
      <c r="AQ12" s="180">
        <v>0.29996855556409302</v>
      </c>
      <c r="AR12" s="180">
        <v>1.2076612433249301</v>
      </c>
      <c r="AS12" s="180">
        <v>8.6059324578805398</v>
      </c>
      <c r="AT12" s="180">
        <v>0.28983305801044812</v>
      </c>
      <c r="AU12" s="181">
        <v>0.41447760740464384</v>
      </c>
      <c r="AV12" s="180">
        <v>1.1018407995050603</v>
      </c>
      <c r="AW12" s="200">
        <v>1.5527885014844067E-2</v>
      </c>
      <c r="AX12" s="184" t="s">
        <v>149</v>
      </c>
    </row>
    <row r="13" spans="1:51" x14ac:dyDescent="0.2">
      <c r="A13" s="183" t="s">
        <v>150</v>
      </c>
      <c r="B13" s="180">
        <f t="shared" si="3"/>
        <v>81.796190626075855</v>
      </c>
      <c r="C13" s="180">
        <f t="shared" si="4"/>
        <v>0.44831311549366465</v>
      </c>
      <c r="D13" s="180">
        <f t="shared" si="5"/>
        <v>0.61955313111310018</v>
      </c>
      <c r="E13" s="180">
        <f t="shared" si="6"/>
        <v>2.2290710714068336</v>
      </c>
      <c r="F13" s="180">
        <f t="shared" si="7"/>
        <v>129.43965768933535</v>
      </c>
      <c r="G13" s="180">
        <f t="shared" si="8"/>
        <v>0.64430673309148967</v>
      </c>
      <c r="H13" s="180">
        <f t="shared" si="9"/>
        <v>0.91828462301850888</v>
      </c>
      <c r="I13" s="180">
        <f t="shared" si="10"/>
        <v>1.1118050535258741</v>
      </c>
      <c r="J13" s="229">
        <f t="shared" si="1"/>
        <v>0.66023443351903977</v>
      </c>
      <c r="P13" s="183" t="s">
        <v>150</v>
      </c>
      <c r="Q13" s="182">
        <f t="shared" si="11"/>
        <v>81.796190626075855</v>
      </c>
      <c r="R13" s="182">
        <f t="shared" si="12"/>
        <v>0.44831311549366465</v>
      </c>
      <c r="S13" s="182">
        <f t="shared" si="13"/>
        <v>0.61955313111310018</v>
      </c>
      <c r="T13" s="182">
        <f t="shared" si="14"/>
        <v>2.2290710714068336</v>
      </c>
      <c r="U13" s="182">
        <f t="shared" si="15"/>
        <v>129.43965768933535</v>
      </c>
      <c r="V13" s="182">
        <f t="shared" si="16"/>
        <v>0.64430673309148967</v>
      </c>
      <c r="W13" s="182">
        <f t="shared" si="17"/>
        <v>0.91828462301850888</v>
      </c>
      <c r="X13" s="182">
        <f t="shared" si="18"/>
        <v>1.1118050535258741</v>
      </c>
      <c r="Y13" s="182">
        <f t="shared" si="19"/>
        <v>51.539824090945636</v>
      </c>
      <c r="Z13" s="182">
        <f t="shared" si="20"/>
        <v>0.25861066819272549</v>
      </c>
      <c r="AA13" s="182">
        <f t="shared" si="21"/>
        <v>0.50436953448076738</v>
      </c>
      <c r="AB13" s="182">
        <f t="shared" si="22"/>
        <v>1.4797879107654841</v>
      </c>
      <c r="AC13" s="182">
        <f t="shared" si="23"/>
        <v>83.22797428328866</v>
      </c>
      <c r="AD13" s="182">
        <f t="shared" si="24"/>
        <v>0.33144653819112757</v>
      </c>
      <c r="AE13" s="182">
        <f t="shared" si="25"/>
        <v>1.0510474639926111</v>
      </c>
      <c r="AF13" s="182">
        <f t="shared" si="26"/>
        <v>1.3000195977506237</v>
      </c>
      <c r="AG13" s="182">
        <f t="shared" si="27"/>
        <v>78.644293613935403</v>
      </c>
      <c r="AH13" s="182">
        <f t="shared" si="28"/>
        <v>0.37581235170181371</v>
      </c>
      <c r="AI13" s="182">
        <f t="shared" si="29"/>
        <v>0.52234672108306734</v>
      </c>
      <c r="AJ13" s="182">
        <f t="shared" si="30"/>
        <v>1.6183764702118393</v>
      </c>
      <c r="AK13" s="182">
        <f t="shared" si="31"/>
        <v>130.08449285899081</v>
      </c>
      <c r="AL13" s="182">
        <f t="shared" si="32"/>
        <v>0.49336691288943019</v>
      </c>
      <c r="AM13" s="182">
        <f t="shared" si="33"/>
        <v>0.81761273072763929</v>
      </c>
      <c r="AN13" s="182">
        <f t="shared" si="34"/>
        <v>1.1341862114644983</v>
      </c>
      <c r="AO13" s="180">
        <v>20.611716989562279</v>
      </c>
      <c r="AP13" s="180">
        <v>0.37901041374063404</v>
      </c>
      <c r="AQ13" s="180">
        <v>0.63728121334555343</v>
      </c>
      <c r="AR13" s="180">
        <v>1.2766205945736908</v>
      </c>
      <c r="AS13" s="180">
        <v>23.337221383914333</v>
      </c>
      <c r="AT13" s="180">
        <v>0.45761933092595242</v>
      </c>
      <c r="AU13" s="180">
        <v>0.79246524301180177</v>
      </c>
      <c r="AV13" s="180">
        <v>1.1223802679368704</v>
      </c>
      <c r="AW13" s="180">
        <v>0.66023443351903977</v>
      </c>
      <c r="AX13" s="183" t="s">
        <v>150</v>
      </c>
    </row>
    <row r="14" spans="1:51" x14ac:dyDescent="0.2">
      <c r="A14" s="184" t="s">
        <v>151</v>
      </c>
      <c r="B14" s="180">
        <f t="shared" si="3"/>
        <v>94.913556313857299</v>
      </c>
      <c r="C14" s="180">
        <f t="shared" si="4"/>
        <v>0.44320479377351374</v>
      </c>
      <c r="D14" s="180">
        <f t="shared" si="5"/>
        <v>0.6151886756885131</v>
      </c>
      <c r="E14" s="180">
        <f t="shared" si="6"/>
        <v>2.1804921619975022</v>
      </c>
      <c r="F14" s="180">
        <f t="shared" si="7"/>
        <v>98.488443478601681</v>
      </c>
      <c r="G14" s="180">
        <f t="shared" si="8"/>
        <v>0.61712920232749313</v>
      </c>
      <c r="H14" s="180">
        <f t="shared" si="9"/>
        <v>0.89739367777561818</v>
      </c>
      <c r="I14" s="180">
        <f t="shared" si="10"/>
        <v>1.0950913416481842</v>
      </c>
      <c r="J14" s="229">
        <f t="shared" si="1"/>
        <v>0.44069959537103193</v>
      </c>
      <c r="P14" s="184" t="s">
        <v>151</v>
      </c>
      <c r="Q14" s="182">
        <f>Q29*AO14/AO29</f>
        <v>94.913556313857299</v>
      </c>
      <c r="R14" s="182">
        <f t="shared" si="12"/>
        <v>0.44320479377351374</v>
      </c>
      <c r="S14" s="182">
        <f t="shared" si="13"/>
        <v>0.6151886756885131</v>
      </c>
      <c r="T14" s="182">
        <f t="shared" si="14"/>
        <v>2.1804921619975022</v>
      </c>
      <c r="U14" s="182">
        <f t="shared" si="15"/>
        <v>98.488443478601681</v>
      </c>
      <c r="V14" s="182">
        <f t="shared" si="16"/>
        <v>0.61712920232749313</v>
      </c>
      <c r="W14" s="182">
        <f t="shared" si="17"/>
        <v>0.89739367777561818</v>
      </c>
      <c r="X14" s="182">
        <f t="shared" si="18"/>
        <v>1.0950913416481842</v>
      </c>
      <c r="Y14" s="182">
        <f>Y29*AO14/AO29</f>
        <v>55.789539330194124</v>
      </c>
      <c r="Z14" s="182">
        <f t="shared" si="20"/>
        <v>0.23849765685609622</v>
      </c>
      <c r="AA14" s="182">
        <f t="shared" si="21"/>
        <v>0.49076835446177519</v>
      </c>
      <c r="AB14" s="182">
        <f t="shared" si="22"/>
        <v>1.4141602986793693</v>
      </c>
      <c r="AC14" s="182">
        <f t="shared" si="23"/>
        <v>60.853753858121955</v>
      </c>
      <c r="AD14" s="182">
        <f t="shared" si="24"/>
        <v>0.30506827490331323</v>
      </c>
      <c r="AE14" s="182">
        <f t="shared" si="25"/>
        <v>0.9852780845262229</v>
      </c>
      <c r="AF14" s="182">
        <f t="shared" si="26"/>
        <v>1.2714875686878304</v>
      </c>
      <c r="AG14" s="182">
        <f>AG29*AO14/AO29</f>
        <v>30.43751055033793</v>
      </c>
      <c r="AH14" s="182">
        <f t="shared" si="28"/>
        <v>0.37153014283360902</v>
      </c>
      <c r="AI14" s="182">
        <f t="shared" si="29"/>
        <v>0.51866703831518202</v>
      </c>
      <c r="AJ14" s="182">
        <f t="shared" si="30"/>
        <v>1.5831066374348184</v>
      </c>
      <c r="AK14" s="182">
        <f t="shared" si="31"/>
        <v>33.013395256279146</v>
      </c>
      <c r="AL14" s="182">
        <f t="shared" si="32"/>
        <v>0.47255618134755362</v>
      </c>
      <c r="AM14" s="182">
        <f t="shared" si="33"/>
        <v>0.79901206775304279</v>
      </c>
      <c r="AN14" s="182">
        <f t="shared" si="34"/>
        <v>1.1171360447163352</v>
      </c>
      <c r="AO14" s="182">
        <v>7.9773029230847401</v>
      </c>
      <c r="AP14" s="182">
        <v>0.36585855922579552</v>
      </c>
      <c r="AQ14" s="180">
        <v>0.62733204889646799</v>
      </c>
      <c r="AR14" s="182">
        <v>1.2593338085072381</v>
      </c>
      <c r="AS14" s="182">
        <v>10.595939169327417</v>
      </c>
      <c r="AT14" s="182">
        <v>0.44423580544424202</v>
      </c>
      <c r="AU14" s="181">
        <v>0.77289417301792473</v>
      </c>
      <c r="AV14" s="182">
        <v>1.1109350181761242</v>
      </c>
      <c r="AW14" s="201">
        <v>0.44069959537103193</v>
      </c>
      <c r="AX14" s="184" t="s">
        <v>151</v>
      </c>
    </row>
    <row r="16" spans="1:51" x14ac:dyDescent="0.2">
      <c r="B16" t="s">
        <v>130</v>
      </c>
      <c r="Q16" s="192" t="s">
        <v>130</v>
      </c>
      <c r="Y16" s="192" t="s">
        <v>130</v>
      </c>
      <c r="AG16" s="192" t="s">
        <v>130</v>
      </c>
      <c r="AO16" s="192" t="s">
        <v>130</v>
      </c>
    </row>
    <row r="17" spans="1:50" x14ac:dyDescent="0.2">
      <c r="B17" s="185" t="s">
        <v>133</v>
      </c>
      <c r="C17" s="185" t="s">
        <v>134</v>
      </c>
      <c r="D17" s="185" t="s">
        <v>135</v>
      </c>
      <c r="E17" s="185" t="s">
        <v>139</v>
      </c>
      <c r="F17" s="185" t="s">
        <v>136</v>
      </c>
      <c r="G17" s="185" t="s">
        <v>137</v>
      </c>
      <c r="H17" s="185" t="s">
        <v>138</v>
      </c>
      <c r="I17" s="186" t="s">
        <v>160</v>
      </c>
      <c r="J17" s="185" t="s">
        <v>183</v>
      </c>
      <c r="Q17" s="185" t="s">
        <v>133</v>
      </c>
      <c r="R17" s="185" t="s">
        <v>134</v>
      </c>
      <c r="S17" s="185" t="s">
        <v>135</v>
      </c>
      <c r="T17" s="185" t="s">
        <v>139</v>
      </c>
      <c r="U17" s="185" t="s">
        <v>136</v>
      </c>
      <c r="V17" s="185" t="s">
        <v>137</v>
      </c>
      <c r="W17" s="185" t="s">
        <v>138</v>
      </c>
      <c r="X17" s="186" t="s">
        <v>160</v>
      </c>
      <c r="Y17" s="185" t="s">
        <v>133</v>
      </c>
      <c r="Z17" s="185" t="s">
        <v>134</v>
      </c>
      <c r="AA17" s="185" t="s">
        <v>135</v>
      </c>
      <c r="AB17" s="185" t="s">
        <v>139</v>
      </c>
      <c r="AC17" s="185" t="s">
        <v>136</v>
      </c>
      <c r="AD17" s="185" t="s">
        <v>137</v>
      </c>
      <c r="AE17" s="185" t="s">
        <v>138</v>
      </c>
      <c r="AF17" s="186" t="s">
        <v>160</v>
      </c>
      <c r="AG17" s="185" t="s">
        <v>133</v>
      </c>
      <c r="AH17" s="185" t="s">
        <v>134</v>
      </c>
      <c r="AI17" s="185" t="s">
        <v>135</v>
      </c>
      <c r="AJ17" s="185" t="s">
        <v>139</v>
      </c>
      <c r="AK17" s="185" t="s">
        <v>136</v>
      </c>
      <c r="AL17" s="185" t="s">
        <v>137</v>
      </c>
      <c r="AM17" s="185" t="s">
        <v>138</v>
      </c>
      <c r="AN17" s="186" t="s">
        <v>160</v>
      </c>
      <c r="AO17" s="185" t="s">
        <v>133</v>
      </c>
      <c r="AP17" s="185" t="s">
        <v>134</v>
      </c>
      <c r="AQ17" s="185" t="s">
        <v>135</v>
      </c>
      <c r="AR17" s="185" t="s">
        <v>139</v>
      </c>
      <c r="AS17" s="185" t="s">
        <v>136</v>
      </c>
      <c r="AT17" s="185" t="s">
        <v>137</v>
      </c>
      <c r="AU17" s="185" t="s">
        <v>138</v>
      </c>
      <c r="AV17" s="186" t="s">
        <v>160</v>
      </c>
    </row>
    <row r="18" spans="1:50" x14ac:dyDescent="0.2">
      <c r="A18" s="183" t="s">
        <v>140</v>
      </c>
      <c r="B18" s="179">
        <f>(B19+B20+B21+B22)/4</f>
        <v>86.115346619883681</v>
      </c>
      <c r="C18" s="179">
        <f t="shared" ref="C18:I18" si="35">(C19+C20+C21+C22)/4</f>
        <v>0.38394694475621899</v>
      </c>
      <c r="D18" s="179">
        <f t="shared" si="35"/>
        <v>0.47281179829739894</v>
      </c>
      <c r="E18" s="179">
        <f t="shared" si="35"/>
        <v>2.4180199297971021</v>
      </c>
      <c r="F18" s="179">
        <f t="shared" si="35"/>
        <v>131.91345853701537</v>
      </c>
      <c r="G18" s="179">
        <f t="shared" si="35"/>
        <v>0.61482266020473331</v>
      </c>
      <c r="H18" s="179">
        <f t="shared" si="35"/>
        <v>0.91192278766732593</v>
      </c>
      <c r="I18" s="179">
        <f t="shared" si="35"/>
        <v>1.2122133123730574</v>
      </c>
      <c r="J18" s="229">
        <f t="shared" ref="J18:J29" si="36">AW18</f>
        <v>0.60359292624470084</v>
      </c>
      <c r="P18" s="183" t="s">
        <v>140</v>
      </c>
      <c r="Q18" s="179">
        <f>AVERAGE(Q19:Q22)</f>
        <v>86.115346619883681</v>
      </c>
      <c r="R18" s="179">
        <f t="shared" ref="R18" si="37">AVERAGE(R19:R22)</f>
        <v>0.38394694475621899</v>
      </c>
      <c r="S18" s="179">
        <f t="shared" ref="S18" si="38">AVERAGE(S19:S22)</f>
        <v>0.47281179829739894</v>
      </c>
      <c r="T18" s="179">
        <f t="shared" ref="T18" si="39">AVERAGE(T19:T22)</f>
        <v>2.4180199297971021</v>
      </c>
      <c r="U18" s="179">
        <f t="shared" ref="U18" si="40">AVERAGE(U19:U22)</f>
        <v>131.91345853701537</v>
      </c>
      <c r="V18" s="179">
        <f t="shared" ref="V18" si="41">AVERAGE(V19:V22)</f>
        <v>0.61482266020473331</v>
      </c>
      <c r="W18" s="179">
        <f t="shared" ref="W18" si="42">AVERAGE(W19:W22)</f>
        <v>0.91192278766732593</v>
      </c>
      <c r="X18" s="179">
        <f t="shared" ref="X18" si="43">AVERAGE(X19:X22)</f>
        <v>1.2122133123730574</v>
      </c>
      <c r="Y18" s="179">
        <f t="shared" ref="Y18" si="44">AVERAGE(Y19:Y22)</f>
        <v>29.372820545202053</v>
      </c>
      <c r="Z18" s="179">
        <f t="shared" ref="Z18" si="45">AVERAGE(Z19:Z22)</f>
        <v>0.14063556121246668</v>
      </c>
      <c r="AA18" s="179">
        <f t="shared" ref="AA18" si="46">AVERAGE(AA19:AA22)</f>
        <v>0.35725337413354713</v>
      </c>
      <c r="AB18" s="179">
        <f t="shared" ref="AB18" si="47">AVERAGE(AB19:AB22)</f>
        <v>1.5142792477861244</v>
      </c>
      <c r="AC18" s="179">
        <f t="shared" ref="AC18" si="48">AVERAGE(AC19:AC22)</f>
        <v>64.656760708116238</v>
      </c>
      <c r="AD18" s="179">
        <f t="shared" ref="AD18" si="49">AVERAGE(AD19:AD22)</f>
        <v>0.25939463074138636</v>
      </c>
      <c r="AE18" s="179">
        <f t="shared" ref="AE18" si="50">AVERAGE(AE19:AE22)</f>
        <v>0.96529490243330729</v>
      </c>
      <c r="AF18" s="179">
        <f t="shared" ref="AF18" si="51">AVERAGE(AF19:AF22)</f>
        <v>1.3323994519639311</v>
      </c>
      <c r="AG18" s="179">
        <f t="shared" ref="AG18" si="52">AVERAGE(AG19:AG22)</f>
        <v>67.871026241738164</v>
      </c>
      <c r="AH18" s="179">
        <f t="shared" ref="AH18" si="53">AVERAGE(AH19:AH22)</f>
        <v>0.22042763918968419</v>
      </c>
      <c r="AI18" s="179">
        <f t="shared" ref="AI18" si="54">AVERAGE(AI19:AI22)</f>
        <v>0.40266510487372187</v>
      </c>
      <c r="AJ18" s="179">
        <f t="shared" ref="AJ18" si="55">AVERAGE(AJ19:AJ22)</f>
        <v>1.5909445760748886</v>
      </c>
      <c r="AK18" s="179">
        <f t="shared" ref="AK18" si="56">AVERAGE(AK19:AK22)</f>
        <v>139.12621018684951</v>
      </c>
      <c r="AL18" s="179">
        <f t="shared" ref="AL18" si="57">AVERAGE(AL19:AL22)</f>
        <v>0.37953693697093788</v>
      </c>
      <c r="AM18" s="179">
        <f t="shared" ref="AM18" si="58">AVERAGE(AM19:AM22)</f>
        <v>0.75010340246281482</v>
      </c>
      <c r="AN18" s="179">
        <f t="shared" ref="AN18" si="59">AVERAGE(AN19:AN22)</f>
        <v>1.1294973565742659</v>
      </c>
      <c r="AO18" s="179">
        <f t="shared" ref="AO18" si="60">AVERAGE(AO19:AO22)</f>
        <v>17.791442770871591</v>
      </c>
      <c r="AP18" s="179">
        <f t="shared" ref="AP18" si="61">AVERAGE(AP19:AP22)</f>
        <v>0.30239542788306539</v>
      </c>
      <c r="AQ18" s="179">
        <f t="shared" ref="AQ18" si="62">AVERAGE(AQ19:AQ22)</f>
        <v>0.48347968828335297</v>
      </c>
      <c r="AR18" s="179">
        <f t="shared" ref="AR18" si="63">AVERAGE(AR19:AR22)</f>
        <v>1.4282349514562103</v>
      </c>
      <c r="AS18" s="179">
        <f t="shared" ref="AS18" si="64">AVERAGE(AS19:AS22)</f>
        <v>21.80519434099751</v>
      </c>
      <c r="AT18" s="179">
        <f t="shared" ref="AT18" si="65">AVERAGE(AT19:AT22)</f>
        <v>0.43758132857270537</v>
      </c>
      <c r="AU18" s="179">
        <f t="shared" ref="AU18" si="66">AVERAGE(AU19:AU22)</f>
        <v>0.78001164225685571</v>
      </c>
      <c r="AV18" s="179">
        <f t="shared" ref="AV18" si="67">AVERAGE(AV19:AV22)</f>
        <v>1.2204553321429661</v>
      </c>
      <c r="AW18" s="230">
        <f>AVERAGE(AW19:AW22)</f>
        <v>0.60359292624470084</v>
      </c>
      <c r="AX18" s="183" t="s">
        <v>140</v>
      </c>
    </row>
    <row r="19" spans="1:50" x14ac:dyDescent="0.2">
      <c r="A19" s="184" t="s">
        <v>141</v>
      </c>
      <c r="B19" s="180">
        <f t="shared" ref="B19:B29" si="68">IF($O$1=1,Q19,IF($O$1=2,Y19,AG19))</f>
        <v>94.222611783471436</v>
      </c>
      <c r="C19" s="180">
        <f t="shared" ref="C19:C29" si="69">IF($O$1=1,R19,IF($O$1=2,Z19,AH19))</f>
        <v>0.430445721130925</v>
      </c>
      <c r="D19" s="180">
        <f t="shared" ref="D19:D29" si="70">IF($O$1=1,S19,IF($O$1=2,AA19,AI19))</f>
        <v>0.55152219115503087</v>
      </c>
      <c r="E19" s="180">
        <f t="shared" ref="E19:E29" si="71">IF($O$1=1,T19,IF($O$1=2,AB19,AJ19))</f>
        <v>2.5628382734338917</v>
      </c>
      <c r="F19" s="180">
        <f t="shared" ref="F19:F29" si="72">IF($O$1=1,U19,IF($O$1=2,AC19,AK19))</f>
        <v>142.93420850817353</v>
      </c>
      <c r="G19" s="180">
        <f t="shared" ref="G19:G29" si="73">IF($O$1=1,V19,IF($O$1=2,AD19,AL19))</f>
        <v>0.69430512758939722</v>
      </c>
      <c r="H19" s="180">
        <f t="shared" ref="H19:H29" si="74">IF($O$1=1,W19,IF($O$1=2,AE19,AM19))</f>
        <v>0.87812853225470588</v>
      </c>
      <c r="I19" s="180">
        <f t="shared" ref="I19:I29" si="75">IF($O$1=1,X19,IF($O$1=2,AF19,AN19))</f>
        <v>1.2252707902452602</v>
      </c>
      <c r="J19" s="229">
        <f t="shared" si="36"/>
        <v>0.6</v>
      </c>
      <c r="P19" s="184" t="s">
        <v>141</v>
      </c>
      <c r="Q19" s="182">
        <f t="shared" ref="Q19:Q28" si="76">Q34*AO19/AO34</f>
        <v>94.222611783471436</v>
      </c>
      <c r="R19" s="182">
        <f t="shared" ref="R19:R29" si="77">R34*AP19/AP34</f>
        <v>0.430445721130925</v>
      </c>
      <c r="S19" s="182">
        <f t="shared" ref="S19:S29" si="78">S34*AQ19/AQ34</f>
        <v>0.55152219115503087</v>
      </c>
      <c r="T19" s="182">
        <f t="shared" ref="T19:T29" si="79">T34*AR19/AR34</f>
        <v>2.5628382734338917</v>
      </c>
      <c r="U19" s="182">
        <f t="shared" ref="U19:U29" si="80">U34*AS19/AS34</f>
        <v>142.93420850817353</v>
      </c>
      <c r="V19" s="182">
        <f t="shared" ref="V19:V29" si="81">V34*AT19/AT34</f>
        <v>0.69430512758939722</v>
      </c>
      <c r="W19" s="182">
        <f t="shared" ref="W19:W29" si="82">W34*AU19/AU34</f>
        <v>0.87812853225470588</v>
      </c>
      <c r="X19" s="182">
        <f t="shared" ref="X19:X29" si="83">X34*AV19/AV34</f>
        <v>1.2252707902452602</v>
      </c>
      <c r="Y19" s="182">
        <f t="shared" ref="Y19:Y28" si="84">Y34*AO19/AO34</f>
        <v>36.508582339593701</v>
      </c>
      <c r="Z19" s="182">
        <f t="shared" ref="Z19:Z29" si="85">Z34*AP19/AP34</f>
        <v>0.15828362142172356</v>
      </c>
      <c r="AA19" s="182">
        <f t="shared" ref="AA19:AA29" si="86">AA34*AQ19/AQ34</f>
        <v>0.36982071757132012</v>
      </c>
      <c r="AB19" s="182">
        <f t="shared" ref="AB19:AB29" si="87">AB34*AR19/AR34</f>
        <v>1.667626976254631</v>
      </c>
      <c r="AC19" s="182">
        <f t="shared" ref="AC19:AC29" si="88">AC34*AS19/AS34</f>
        <v>73.709517218341105</v>
      </c>
      <c r="AD19" s="182">
        <f t="shared" ref="AD19:AD29" si="89">AD34*AT19/AT34</f>
        <v>0.2989164895065789</v>
      </c>
      <c r="AE19" s="182">
        <f t="shared" ref="AE19:AE29" si="90">AE34*AU19/AU34</f>
        <v>0.92710807225763148</v>
      </c>
      <c r="AF19" s="182">
        <f t="shared" ref="AF19:AF29" si="91">AF34*AV19/AV34</f>
        <v>1.4702846449265126</v>
      </c>
      <c r="AG19" s="182">
        <f t="shared" ref="AG19:AG28" si="92">AG34*AO19/AO34</f>
        <v>78.048844835840967</v>
      </c>
      <c r="AH19" s="182">
        <f t="shared" ref="AH19:AH29" si="93">AH34*AP19/AP34</f>
        <v>0.22966792463871394</v>
      </c>
      <c r="AI19" s="182">
        <f t="shared" ref="AI19:AI29" si="94">AI34*AQ19/AQ34</f>
        <v>0.40959828157821387</v>
      </c>
      <c r="AJ19" s="182">
        <f t="shared" ref="AJ19:AJ29" si="95">AJ34*AR19/AR34</f>
        <v>1.8930525227586821</v>
      </c>
      <c r="AK19" s="182">
        <f t="shared" ref="AK19:AK29" si="96">AK34*AS19/AS34</f>
        <v>169.33898809700139</v>
      </c>
      <c r="AL19" s="182">
        <f t="shared" ref="AL19:AL29" si="97">AL34*AT19/AT34</f>
        <v>0.46609680326125252</v>
      </c>
      <c r="AM19" s="182">
        <f t="shared" ref="AM19:AM29" si="98">AM34*AU19/AU34</f>
        <v>0.77778781723029644</v>
      </c>
      <c r="AN19" s="182">
        <f t="shared" ref="AN19:AN29" si="99">AN34*AV19/AV34</f>
        <v>1.3465573066078829</v>
      </c>
      <c r="AO19" s="180">
        <v>14.935070516998637</v>
      </c>
      <c r="AP19" s="180">
        <v>0.32874005636717224</v>
      </c>
      <c r="AQ19" s="180">
        <v>0.59601440855069576</v>
      </c>
      <c r="AR19" s="180">
        <v>1.4476577495783567</v>
      </c>
      <c r="AS19" s="181">
        <v>19.185227667263575</v>
      </c>
      <c r="AT19" s="181">
        <v>0.47171768187412194</v>
      </c>
      <c r="AU19" s="181">
        <v>0.74354354262180711</v>
      </c>
      <c r="AV19" s="180">
        <v>1.2204584257943289</v>
      </c>
      <c r="AW19" s="202">
        <v>0.6</v>
      </c>
      <c r="AX19" s="184" t="s">
        <v>141</v>
      </c>
    </row>
    <row r="20" spans="1:50" x14ac:dyDescent="0.2">
      <c r="A20" s="183" t="s">
        <v>142</v>
      </c>
      <c r="B20" s="180">
        <f t="shared" si="68"/>
        <v>87.838217781705012</v>
      </c>
      <c r="C20" s="180">
        <f t="shared" si="69"/>
        <v>0.37194487853605812</v>
      </c>
      <c r="D20" s="180">
        <f t="shared" si="70"/>
        <v>0.4561310530964664</v>
      </c>
      <c r="E20" s="180">
        <f t="shared" si="71"/>
        <v>2.2930582755188973</v>
      </c>
      <c r="F20" s="180">
        <f t="shared" si="72"/>
        <v>138.77498811574921</v>
      </c>
      <c r="G20" s="180">
        <f t="shared" si="73"/>
        <v>0.60785636638768259</v>
      </c>
      <c r="H20" s="180">
        <f t="shared" si="74"/>
        <v>0.87107760593469985</v>
      </c>
      <c r="I20" s="180">
        <f t="shared" si="75"/>
        <v>1.1540130753586997</v>
      </c>
      <c r="J20" s="229">
        <f t="shared" si="36"/>
        <v>0.76818022491376881</v>
      </c>
      <c r="P20" s="183" t="s">
        <v>142</v>
      </c>
      <c r="Q20" s="182">
        <f t="shared" si="76"/>
        <v>87.838217781705012</v>
      </c>
      <c r="R20" s="182">
        <f t="shared" si="77"/>
        <v>0.37194487853605812</v>
      </c>
      <c r="S20" s="182">
        <f t="shared" si="78"/>
        <v>0.4561310530964664</v>
      </c>
      <c r="T20" s="182">
        <f t="shared" si="79"/>
        <v>2.2930582755188973</v>
      </c>
      <c r="U20" s="182">
        <f t="shared" si="80"/>
        <v>138.77498811574921</v>
      </c>
      <c r="V20" s="182">
        <f t="shared" si="81"/>
        <v>0.60785636638768259</v>
      </c>
      <c r="W20" s="182">
        <f t="shared" si="82"/>
        <v>0.87107760593469985</v>
      </c>
      <c r="X20" s="182">
        <f t="shared" si="83"/>
        <v>1.1540130753586997</v>
      </c>
      <c r="Y20" s="182">
        <f t="shared" si="84"/>
        <v>27.303731724342086</v>
      </c>
      <c r="Z20" s="182">
        <f t="shared" si="85"/>
        <v>0.15011525322291025</v>
      </c>
      <c r="AA20" s="182">
        <f t="shared" si="86"/>
        <v>0.3547936794545492</v>
      </c>
      <c r="AB20" s="182">
        <f t="shared" si="87"/>
        <v>1.4508504369197157</v>
      </c>
      <c r="AC20" s="182">
        <f t="shared" si="88"/>
        <v>62.985667597426307</v>
      </c>
      <c r="AD20" s="182">
        <f t="shared" si="89"/>
        <v>0.26387885716372517</v>
      </c>
      <c r="AE20" s="182">
        <f t="shared" si="90"/>
        <v>0.95331010406348382</v>
      </c>
      <c r="AF20" s="182">
        <f t="shared" si="91"/>
        <v>1.2558310988300079</v>
      </c>
      <c r="AG20" s="182">
        <f t="shared" si="92"/>
        <v>58.370514115567268</v>
      </c>
      <c r="AH20" s="182">
        <f t="shared" si="93"/>
        <v>0.2178157054700107</v>
      </c>
      <c r="AI20" s="182">
        <f t="shared" si="94"/>
        <v>0.39295494955976706</v>
      </c>
      <c r="AJ20" s="182">
        <f t="shared" si="95"/>
        <v>1.6469726856571518</v>
      </c>
      <c r="AK20" s="182">
        <f t="shared" si="96"/>
        <v>144.70219882146051</v>
      </c>
      <c r="AL20" s="182">
        <f t="shared" si="97"/>
        <v>0.41146305436434599</v>
      </c>
      <c r="AM20" s="182">
        <f t="shared" si="98"/>
        <v>0.79976974332403206</v>
      </c>
      <c r="AN20" s="182">
        <f t="shared" si="99"/>
        <v>1.1501504472825907</v>
      </c>
      <c r="AO20" s="180">
        <v>20.238581388321794</v>
      </c>
      <c r="AP20" s="180">
        <v>0.31292611733779607</v>
      </c>
      <c r="AQ20" s="180">
        <v>0.46507700089240467</v>
      </c>
      <c r="AR20" s="180">
        <v>1.4151324830949306</v>
      </c>
      <c r="AS20" s="181">
        <v>23.955825025779859</v>
      </c>
      <c r="AT20" s="181">
        <v>0.44084151691890189</v>
      </c>
      <c r="AU20" s="181">
        <v>0.76408318423799104</v>
      </c>
      <c r="AV20" s="180">
        <v>1.2097120666503907</v>
      </c>
      <c r="AW20" s="202">
        <v>0.76818022491376881</v>
      </c>
      <c r="AX20" s="183" t="s">
        <v>142</v>
      </c>
    </row>
    <row r="21" spans="1:50" x14ac:dyDescent="0.2">
      <c r="A21" s="184" t="s">
        <v>143</v>
      </c>
      <c r="B21" s="180">
        <f t="shared" si="68"/>
        <v>105.7329458951817</v>
      </c>
      <c r="C21" s="180">
        <f t="shared" si="69"/>
        <v>0.42391131012503769</v>
      </c>
      <c r="D21" s="180">
        <f t="shared" si="70"/>
        <v>0.48339529610550241</v>
      </c>
      <c r="E21" s="180">
        <f t="shared" si="71"/>
        <v>2.3940653174687885</v>
      </c>
      <c r="F21" s="180">
        <f t="shared" si="72"/>
        <v>121.47399495343156</v>
      </c>
      <c r="G21" s="180">
        <f t="shared" si="73"/>
        <v>0.54332494035877466</v>
      </c>
      <c r="H21" s="180">
        <f t="shared" si="74"/>
        <v>1.0827361986620219</v>
      </c>
      <c r="I21" s="180">
        <f t="shared" si="75"/>
        <v>1.0414690803855844</v>
      </c>
      <c r="J21" s="229">
        <f t="shared" si="36"/>
        <v>0.5461914800650346</v>
      </c>
      <c r="P21" s="184" t="s">
        <v>143</v>
      </c>
      <c r="Q21" s="182">
        <f t="shared" si="76"/>
        <v>105.7329458951817</v>
      </c>
      <c r="R21" s="182">
        <f>R36*AP21/AP36</f>
        <v>0.42391131012503769</v>
      </c>
      <c r="S21" s="182">
        <f t="shared" si="78"/>
        <v>0.48339529610550241</v>
      </c>
      <c r="T21" s="182">
        <f t="shared" si="79"/>
        <v>2.3940653174687885</v>
      </c>
      <c r="U21" s="182">
        <f t="shared" si="80"/>
        <v>121.47399495343156</v>
      </c>
      <c r="V21" s="182">
        <f t="shared" si="81"/>
        <v>0.54332494035877466</v>
      </c>
      <c r="W21" s="182">
        <f t="shared" si="82"/>
        <v>1.0827361986620219</v>
      </c>
      <c r="X21" s="182">
        <f t="shared" si="83"/>
        <v>1.0414690803855844</v>
      </c>
      <c r="Y21" s="182">
        <f t="shared" si="84"/>
        <v>23.262821961383015</v>
      </c>
      <c r="Z21" s="182">
        <f t="shared" si="85"/>
        <v>0.12197238033505275</v>
      </c>
      <c r="AA21" s="182">
        <f t="shared" si="86"/>
        <v>0.23220672440878079</v>
      </c>
      <c r="AB21" s="182">
        <f t="shared" si="87"/>
        <v>1.5305436381733886</v>
      </c>
      <c r="AC21" s="182">
        <f t="shared" si="88"/>
        <v>52.118910714282364</v>
      </c>
      <c r="AD21" s="182">
        <f t="shared" si="89"/>
        <v>0.22067386848484649</v>
      </c>
      <c r="AE21" s="182">
        <f t="shared" si="90"/>
        <v>0.97792673226212723</v>
      </c>
      <c r="AF21" s="182">
        <f t="shared" si="91"/>
        <v>1.3661266737463704</v>
      </c>
      <c r="AG21" s="182">
        <f t="shared" si="92"/>
        <v>58.87291940231615</v>
      </c>
      <c r="AH21" s="182">
        <f t="shared" si="93"/>
        <v>0.20951133884407877</v>
      </c>
      <c r="AI21" s="182">
        <f t="shared" si="94"/>
        <v>0.38458498489597448</v>
      </c>
      <c r="AJ21" s="182">
        <f t="shared" si="95"/>
        <v>1.4878659945128387</v>
      </c>
      <c r="AK21" s="182">
        <f t="shared" si="96"/>
        <v>103.13124270573881</v>
      </c>
      <c r="AL21" s="182">
        <f t="shared" si="97"/>
        <v>0.29637303423576861</v>
      </c>
      <c r="AM21" s="182">
        <f t="shared" si="98"/>
        <v>0.80697946998959813</v>
      </c>
      <c r="AN21" s="182">
        <f t="shared" si="99"/>
        <v>1.0306068890545161</v>
      </c>
      <c r="AO21" s="180">
        <v>9.2611393001796305</v>
      </c>
      <c r="AP21" s="180">
        <v>0.17738458376632601</v>
      </c>
      <c r="AQ21" s="180">
        <v>0.31224088515551879</v>
      </c>
      <c r="AR21" s="180">
        <v>1.4752375760461602</v>
      </c>
      <c r="AS21" s="181">
        <v>13.756952861249447</v>
      </c>
      <c r="AT21" s="181">
        <v>0.32730423209390469</v>
      </c>
      <c r="AU21" s="181">
        <v>0.8416589630820922</v>
      </c>
      <c r="AV21" s="180">
        <v>1.3157702629906791</v>
      </c>
      <c r="AW21" s="202">
        <v>0.5461914800650346</v>
      </c>
      <c r="AX21" s="184" t="s">
        <v>143</v>
      </c>
    </row>
    <row r="22" spans="1:50" x14ac:dyDescent="0.2">
      <c r="A22" s="183" t="s">
        <v>144</v>
      </c>
      <c r="B22" s="180">
        <f t="shared" si="68"/>
        <v>56.667611019176618</v>
      </c>
      <c r="C22" s="180">
        <f t="shared" si="69"/>
        <v>0.30948586923285532</v>
      </c>
      <c r="D22" s="180">
        <f t="shared" si="70"/>
        <v>0.40019865283259631</v>
      </c>
      <c r="E22" s="180">
        <f t="shared" si="71"/>
        <v>2.422117852766831</v>
      </c>
      <c r="F22" s="180">
        <f t="shared" si="72"/>
        <v>124.47064257070724</v>
      </c>
      <c r="G22" s="180">
        <f t="shared" si="73"/>
        <v>0.61380420648307854</v>
      </c>
      <c r="H22" s="180">
        <f t="shared" si="74"/>
        <v>0.81574881381787612</v>
      </c>
      <c r="I22" s="180">
        <f t="shared" si="75"/>
        <v>1.4281003035026847</v>
      </c>
      <c r="J22" s="229">
        <f t="shared" si="36"/>
        <v>0.5</v>
      </c>
      <c r="P22" s="183" t="s">
        <v>144</v>
      </c>
      <c r="Q22" s="182">
        <f t="shared" si="76"/>
        <v>56.667611019176618</v>
      </c>
      <c r="R22" s="182">
        <f t="shared" si="77"/>
        <v>0.30948586923285532</v>
      </c>
      <c r="S22" s="182">
        <f t="shared" si="78"/>
        <v>0.40019865283259631</v>
      </c>
      <c r="T22" s="182">
        <f t="shared" si="79"/>
        <v>2.422117852766831</v>
      </c>
      <c r="U22" s="182">
        <f t="shared" si="80"/>
        <v>124.47064257070724</v>
      </c>
      <c r="V22" s="182">
        <f t="shared" si="81"/>
        <v>0.61380420648307854</v>
      </c>
      <c r="W22" s="182">
        <f t="shared" si="82"/>
        <v>0.81574881381787612</v>
      </c>
      <c r="X22" s="182">
        <f t="shared" si="83"/>
        <v>1.4281003035026847</v>
      </c>
      <c r="Y22" s="182">
        <f t="shared" si="84"/>
        <v>30.416146155489411</v>
      </c>
      <c r="Z22" s="182">
        <f t="shared" si="85"/>
        <v>0.13217098987018019</v>
      </c>
      <c r="AA22" s="182">
        <f t="shared" si="86"/>
        <v>0.47219237509953843</v>
      </c>
      <c r="AB22" s="182">
        <f t="shared" si="87"/>
        <v>1.4080959397967627</v>
      </c>
      <c r="AC22" s="182">
        <f t="shared" si="88"/>
        <v>69.812947302415196</v>
      </c>
      <c r="AD22" s="182">
        <f t="shared" si="89"/>
        <v>0.25410930781039481</v>
      </c>
      <c r="AE22" s="182">
        <f t="shared" si="90"/>
        <v>1.0028347011499867</v>
      </c>
      <c r="AF22" s="182">
        <f t="shared" si="91"/>
        <v>1.2373553903528334</v>
      </c>
      <c r="AG22" s="182">
        <f t="shared" si="92"/>
        <v>76.191826613228272</v>
      </c>
      <c r="AH22" s="182">
        <f t="shared" si="93"/>
        <v>0.2247155878059334</v>
      </c>
      <c r="AI22" s="182">
        <f t="shared" si="94"/>
        <v>0.423522203460932</v>
      </c>
      <c r="AJ22" s="182">
        <f t="shared" si="95"/>
        <v>1.3358871013708815</v>
      </c>
      <c r="AK22" s="182">
        <f t="shared" si="96"/>
        <v>139.33241112319729</v>
      </c>
      <c r="AL22" s="182">
        <f t="shared" si="97"/>
        <v>0.34421485602238433</v>
      </c>
      <c r="AM22" s="182">
        <f t="shared" si="98"/>
        <v>0.61587657930733264</v>
      </c>
      <c r="AN22" s="182">
        <f t="shared" si="99"/>
        <v>0.99067478335207437</v>
      </c>
      <c r="AO22" s="180">
        <v>26.730979877986304</v>
      </c>
      <c r="AP22" s="180">
        <v>0.39053095406096727</v>
      </c>
      <c r="AQ22" s="180">
        <v>0.56058645853479272</v>
      </c>
      <c r="AR22" s="180">
        <v>1.374911997105394</v>
      </c>
      <c r="AS22" s="180">
        <v>30.322771809697151</v>
      </c>
      <c r="AT22" s="180">
        <v>0.51046188340389298</v>
      </c>
      <c r="AU22" s="181">
        <v>0.77076087908553226</v>
      </c>
      <c r="AV22" s="180">
        <v>1.1358805731364658</v>
      </c>
      <c r="AW22" s="198">
        <v>0.5</v>
      </c>
      <c r="AX22" s="183" t="s">
        <v>144</v>
      </c>
    </row>
    <row r="23" spans="1:50" x14ac:dyDescent="0.2">
      <c r="A23" s="184" t="s">
        <v>145</v>
      </c>
      <c r="B23" s="180">
        <f t="shared" si="68"/>
        <v>57.576230840593176</v>
      </c>
      <c r="C23" s="180">
        <f t="shared" si="69"/>
        <v>0.32058714525979054</v>
      </c>
      <c r="D23" s="180">
        <f t="shared" si="70"/>
        <v>0.40480452978521098</v>
      </c>
      <c r="E23" s="180">
        <f t="shared" si="71"/>
        <v>1.6185079840516927</v>
      </c>
      <c r="F23" s="180">
        <f t="shared" si="72"/>
        <v>51.309907345229561</v>
      </c>
      <c r="G23" s="180">
        <f t="shared" si="73"/>
        <v>0.34799702539501193</v>
      </c>
      <c r="H23" s="180">
        <f t="shared" si="74"/>
        <v>0.43500409122925088</v>
      </c>
      <c r="I23" s="180">
        <f t="shared" si="75"/>
        <v>0.75138245231191847</v>
      </c>
      <c r="J23" s="229">
        <f t="shared" si="36"/>
        <v>0.26</v>
      </c>
      <c r="P23" s="184" t="s">
        <v>145</v>
      </c>
      <c r="Q23" s="182">
        <f t="shared" si="76"/>
        <v>57.576230840593176</v>
      </c>
      <c r="R23" s="182">
        <f t="shared" si="77"/>
        <v>0.32058714525979054</v>
      </c>
      <c r="S23" s="182">
        <f t="shared" si="78"/>
        <v>0.40480452978521098</v>
      </c>
      <c r="T23" s="182">
        <f t="shared" si="79"/>
        <v>1.6185079840516927</v>
      </c>
      <c r="U23" s="182">
        <f t="shared" si="80"/>
        <v>51.309907345229561</v>
      </c>
      <c r="V23" s="182">
        <f t="shared" si="81"/>
        <v>0.34799702539501193</v>
      </c>
      <c r="W23" s="182">
        <f t="shared" si="82"/>
        <v>0.43500409122925088</v>
      </c>
      <c r="X23" s="182">
        <f t="shared" si="83"/>
        <v>0.75138245231191847</v>
      </c>
      <c r="Y23" s="182">
        <f t="shared" si="84"/>
        <v>19.406308622880086</v>
      </c>
      <c r="Z23" s="182">
        <f t="shared" si="85"/>
        <v>0.13267944596550624</v>
      </c>
      <c r="AA23" s="182">
        <f t="shared" si="86"/>
        <v>0.27037218534824775</v>
      </c>
      <c r="AB23" s="182">
        <f t="shared" si="87"/>
        <v>1.3338779316799929</v>
      </c>
      <c r="AC23" s="182">
        <f t="shared" si="88"/>
        <v>27.767552565501955</v>
      </c>
      <c r="AD23" s="182">
        <f t="shared" si="89"/>
        <v>0.18632351304475753</v>
      </c>
      <c r="AE23" s="182">
        <f t="shared" si="90"/>
        <v>0.54984286408491034</v>
      </c>
      <c r="AF23" s="182">
        <f t="shared" si="91"/>
        <v>1.1374023652842389</v>
      </c>
      <c r="AG23" s="182">
        <f t="shared" si="92"/>
        <v>12.906134911446209</v>
      </c>
      <c r="AH23" s="182">
        <f t="shared" si="93"/>
        <v>7.3106050614134249E-2</v>
      </c>
      <c r="AI23" s="182">
        <f t="shared" si="94"/>
        <v>0.23191807442630696</v>
      </c>
      <c r="AJ23" s="182">
        <f t="shared" si="95"/>
        <v>1.3766785755942039</v>
      </c>
      <c r="AK23" s="182">
        <f t="shared" si="96"/>
        <v>37.581500056885631</v>
      </c>
      <c r="AL23" s="182">
        <f t="shared" si="97"/>
        <v>0.20892989154913649</v>
      </c>
      <c r="AM23" s="182">
        <f t="shared" si="98"/>
        <v>0.40541002037190399</v>
      </c>
      <c r="AN23" s="182">
        <f t="shared" si="99"/>
        <v>1.026556995561229</v>
      </c>
      <c r="AO23" s="180">
        <v>3.3825416695802284</v>
      </c>
      <c r="AP23" s="180">
        <v>0.15527959682945497</v>
      </c>
      <c r="AQ23" s="180">
        <v>0.20011661772314018</v>
      </c>
      <c r="AR23" s="180">
        <v>1.3921569512828309</v>
      </c>
      <c r="AS23" s="180">
        <v>6.7144748627262958</v>
      </c>
      <c r="AT23" s="180">
        <v>0.27291671188602989</v>
      </c>
      <c r="AU23" s="181">
        <v>0.41093521694488383</v>
      </c>
      <c r="AV23" s="180">
        <v>1.2617151148178998</v>
      </c>
      <c r="AW23" s="200">
        <v>0.26</v>
      </c>
      <c r="AX23" s="184" t="s">
        <v>145</v>
      </c>
    </row>
    <row r="24" spans="1:50" x14ac:dyDescent="0.2">
      <c r="A24" s="183" t="s">
        <v>146</v>
      </c>
      <c r="B24" s="180">
        <f t="shared" si="68"/>
        <v>63.14862182693485</v>
      </c>
      <c r="C24" s="180">
        <f t="shared" si="69"/>
        <v>0.30329506442940518</v>
      </c>
      <c r="D24" s="180">
        <f t="shared" si="70"/>
        <v>0.3835947524630845</v>
      </c>
      <c r="E24" s="180">
        <f t="shared" si="71"/>
        <v>1.7171488131751551</v>
      </c>
      <c r="F24" s="180">
        <f t="shared" si="72"/>
        <v>72.438626586638165</v>
      </c>
      <c r="G24" s="180">
        <f t="shared" si="73"/>
        <v>0.40584305387584602</v>
      </c>
      <c r="H24" s="180">
        <f t="shared" si="74"/>
        <v>0.53474321123760815</v>
      </c>
      <c r="I24" s="180">
        <f t="shared" si="75"/>
        <v>0.84779561030035988</v>
      </c>
      <c r="J24" s="229">
        <f t="shared" si="36"/>
        <v>0.05</v>
      </c>
      <c r="P24" s="183" t="s">
        <v>146</v>
      </c>
      <c r="Q24" s="182">
        <f t="shared" si="76"/>
        <v>63.14862182693485</v>
      </c>
      <c r="R24" s="182">
        <f t="shared" si="77"/>
        <v>0.30329506442940518</v>
      </c>
      <c r="S24" s="182">
        <f t="shared" si="78"/>
        <v>0.3835947524630845</v>
      </c>
      <c r="T24" s="182">
        <f t="shared" si="79"/>
        <v>1.7171488131751551</v>
      </c>
      <c r="U24" s="182">
        <f t="shared" si="80"/>
        <v>72.438626586638165</v>
      </c>
      <c r="V24" s="182">
        <f t="shared" si="81"/>
        <v>0.40584305387584602</v>
      </c>
      <c r="W24" s="182">
        <f t="shared" si="82"/>
        <v>0.53474321123760815</v>
      </c>
      <c r="X24" s="182">
        <f t="shared" si="83"/>
        <v>0.84779561030035988</v>
      </c>
      <c r="Y24" s="182">
        <f t="shared" si="84"/>
        <v>32.64785429999435</v>
      </c>
      <c r="Z24" s="182">
        <f t="shared" si="85"/>
        <v>0.19253688979557043</v>
      </c>
      <c r="AA24" s="182">
        <f t="shared" si="86"/>
        <v>0.19718059607197427</v>
      </c>
      <c r="AB24" s="182">
        <f t="shared" si="87"/>
        <v>1.472702950285097</v>
      </c>
      <c r="AC24" s="182">
        <f t="shared" si="88"/>
        <v>46.207779489466034</v>
      </c>
      <c r="AD24" s="182">
        <f t="shared" si="89"/>
        <v>0.25612900875722816</v>
      </c>
      <c r="AE24" s="182">
        <f t="shared" si="90"/>
        <v>0.59463514252355898</v>
      </c>
      <c r="AF24" s="182">
        <f t="shared" si="91"/>
        <v>1.347304164742626</v>
      </c>
      <c r="AG24" s="182">
        <f t="shared" si="92"/>
        <v>29.72515013803833</v>
      </c>
      <c r="AH24" s="182">
        <f t="shared" si="93"/>
        <v>7.6786831751500348E-2</v>
      </c>
      <c r="AI24" s="182">
        <f t="shared" si="94"/>
        <v>0.21079792731688335</v>
      </c>
      <c r="AJ24" s="182">
        <f t="shared" si="95"/>
        <v>1.166140722201473</v>
      </c>
      <c r="AK24" s="182">
        <f t="shared" si="96"/>
        <v>80.168033507274018</v>
      </c>
      <c r="AL24" s="182">
        <f t="shared" si="97"/>
        <v>0.19464725518616982</v>
      </c>
      <c r="AM24" s="182">
        <f t="shared" si="98"/>
        <v>0.38637267959127758</v>
      </c>
      <c r="AN24" s="182">
        <f t="shared" si="99"/>
        <v>0.93715219624766921</v>
      </c>
      <c r="AO24" s="180">
        <v>7.7906018855629862</v>
      </c>
      <c r="AP24" s="180">
        <v>0.24277645455955088</v>
      </c>
      <c r="AQ24" s="180">
        <v>0.32878017195861031</v>
      </c>
      <c r="AR24" s="180">
        <v>1.3493904939224555</v>
      </c>
      <c r="AS24" s="180">
        <v>11.107152516758719</v>
      </c>
      <c r="AT24" s="180">
        <v>0.3627456539028952</v>
      </c>
      <c r="AU24" s="181">
        <v>0.53103805684246297</v>
      </c>
      <c r="AV24" s="180">
        <v>1.1808785602103833</v>
      </c>
      <c r="AW24" s="200">
        <v>0.05</v>
      </c>
      <c r="AX24" s="183" t="s">
        <v>146</v>
      </c>
    </row>
    <row r="25" spans="1:50" x14ac:dyDescent="0.2">
      <c r="A25" s="184" t="s">
        <v>147</v>
      </c>
      <c r="B25" s="180">
        <f t="shared" si="68"/>
        <v>0.37186949457885199</v>
      </c>
      <c r="C25" s="180">
        <f t="shared" si="69"/>
        <v>3.3652210784021988E-2</v>
      </c>
      <c r="D25" s="180">
        <f t="shared" si="70"/>
        <v>5.2410009606791381E-2</v>
      </c>
      <c r="E25" s="180">
        <f t="shared" si="71"/>
        <v>1.1616784846246766</v>
      </c>
      <c r="F25" s="180">
        <f t="shared" si="72"/>
        <v>2.7613687780087717</v>
      </c>
      <c r="G25" s="180">
        <f t="shared" si="73"/>
        <v>7.2003514677482228E-2</v>
      </c>
      <c r="H25" s="180">
        <f t="shared" si="74"/>
        <v>0.13281294652832701</v>
      </c>
      <c r="I25" s="180">
        <f t="shared" si="75"/>
        <v>1.1226850643492581</v>
      </c>
      <c r="J25" s="229">
        <f t="shared" si="36"/>
        <v>0</v>
      </c>
      <c r="P25" s="184" t="s">
        <v>147</v>
      </c>
      <c r="Q25" s="182">
        <f t="shared" si="76"/>
        <v>0.37186949457885199</v>
      </c>
      <c r="R25" s="182">
        <f t="shared" si="77"/>
        <v>3.3652210784021988E-2</v>
      </c>
      <c r="S25" s="182">
        <f t="shared" si="78"/>
        <v>5.2410009606791381E-2</v>
      </c>
      <c r="T25" s="182">
        <f t="shared" si="79"/>
        <v>1.1616784846246766</v>
      </c>
      <c r="U25" s="182">
        <f t="shared" si="80"/>
        <v>2.7613687780087717</v>
      </c>
      <c r="V25" s="182">
        <f t="shared" si="81"/>
        <v>7.2003514677482228E-2</v>
      </c>
      <c r="W25" s="182">
        <f t="shared" si="82"/>
        <v>0.13281294652832701</v>
      </c>
      <c r="X25" s="182">
        <f t="shared" si="83"/>
        <v>1.1226850643492581</v>
      </c>
      <c r="Y25" s="182">
        <f t="shared" si="84"/>
        <v>2.9188764924470014</v>
      </c>
      <c r="Z25" s="182">
        <f t="shared" si="85"/>
        <v>2.7341023534763573E-2</v>
      </c>
      <c r="AA25" s="182">
        <f t="shared" si="86"/>
        <v>0.18086455319558742</v>
      </c>
      <c r="AB25" s="182">
        <f t="shared" si="87"/>
        <v>1.3485481759241111</v>
      </c>
      <c r="AC25" s="182">
        <f t="shared" si="88"/>
        <v>5.7431188090659795</v>
      </c>
      <c r="AD25" s="182">
        <f t="shared" si="89"/>
        <v>6.9641170712136546E-2</v>
      </c>
      <c r="AE25" s="182">
        <f t="shared" si="90"/>
        <v>0.27692036547014254</v>
      </c>
      <c r="AF25" s="182">
        <f t="shared" si="91"/>
        <v>1.1427075839772629</v>
      </c>
      <c r="AG25" s="182">
        <f t="shared" si="92"/>
        <v>0.44759408279612961</v>
      </c>
      <c r="AH25" s="182">
        <f t="shared" si="93"/>
        <v>6.0471134107361581E-2</v>
      </c>
      <c r="AI25" s="182">
        <f t="shared" si="94"/>
        <v>0.20621717227706274</v>
      </c>
      <c r="AJ25" s="182">
        <f t="shared" si="95"/>
        <v>1.6984919075557054</v>
      </c>
      <c r="AK25" s="182">
        <f t="shared" si="96"/>
        <v>0.67571954383752197</v>
      </c>
      <c r="AL25" s="182">
        <f t="shared" si="97"/>
        <v>0.11818149243840402</v>
      </c>
      <c r="AM25" s="182">
        <f t="shared" si="98"/>
        <v>0.22877883273054062</v>
      </c>
      <c r="AN25" s="182">
        <f t="shared" si="99"/>
        <v>1.2921958817291932</v>
      </c>
      <c r="AO25" s="180">
        <v>0.11730898882613627</v>
      </c>
      <c r="AP25" s="180">
        <v>3.3652210784021988E-2</v>
      </c>
      <c r="AQ25" s="180">
        <v>5.2410009606791381E-2</v>
      </c>
      <c r="AR25" s="180">
        <v>1.1616784846246766</v>
      </c>
      <c r="AS25" s="180">
        <v>0.87109425173778288</v>
      </c>
      <c r="AT25" s="180">
        <v>7.2003514677482214E-2</v>
      </c>
      <c r="AU25" s="181">
        <v>0.13281294652832704</v>
      </c>
      <c r="AV25" s="180">
        <v>1.1226850643492581</v>
      </c>
      <c r="AW25" s="200">
        <v>0</v>
      </c>
      <c r="AX25" s="184" t="s">
        <v>147</v>
      </c>
    </row>
    <row r="26" spans="1:50" x14ac:dyDescent="0.2">
      <c r="A26" s="183" t="s">
        <v>148</v>
      </c>
      <c r="B26" s="180">
        <f t="shared" si="68"/>
        <v>63.293656387760379</v>
      </c>
      <c r="C26" s="180">
        <f t="shared" si="69"/>
        <v>0.31198247185113165</v>
      </c>
      <c r="D26" s="180">
        <f t="shared" si="70"/>
        <v>0.39354315030438664</v>
      </c>
      <c r="E26" s="180">
        <f t="shared" si="71"/>
        <v>1.7397694120501739</v>
      </c>
      <c r="F26" s="180">
        <f t="shared" si="72"/>
        <v>65.182540598476081</v>
      </c>
      <c r="G26" s="180">
        <f t="shared" si="73"/>
        <v>0.42889356913806759</v>
      </c>
      <c r="H26" s="180">
        <f t="shared" si="74"/>
        <v>0.55525312299199225</v>
      </c>
      <c r="I26" s="180">
        <f t="shared" si="75"/>
        <v>0.82924848035134135</v>
      </c>
      <c r="J26" s="229">
        <f t="shared" si="36"/>
        <v>0.05</v>
      </c>
      <c r="P26" s="183" t="s">
        <v>148</v>
      </c>
      <c r="Q26" s="182">
        <f t="shared" si="76"/>
        <v>63.293656387760379</v>
      </c>
      <c r="R26" s="182">
        <f t="shared" si="77"/>
        <v>0.31198247185113165</v>
      </c>
      <c r="S26" s="182">
        <f t="shared" si="78"/>
        <v>0.39354315030438664</v>
      </c>
      <c r="T26" s="182">
        <f t="shared" si="79"/>
        <v>1.7397694120501739</v>
      </c>
      <c r="U26" s="182">
        <f t="shared" si="80"/>
        <v>65.182540598476081</v>
      </c>
      <c r="V26" s="182">
        <f t="shared" si="81"/>
        <v>0.42889356913806759</v>
      </c>
      <c r="W26" s="182">
        <f t="shared" si="82"/>
        <v>0.55525312299199225</v>
      </c>
      <c r="X26" s="182">
        <f t="shared" si="83"/>
        <v>0.82924848035134135</v>
      </c>
      <c r="Y26" s="182">
        <f t="shared" si="84"/>
        <v>21.917349614325474</v>
      </c>
      <c r="Z26" s="182">
        <f t="shared" si="85"/>
        <v>0.1326526368479358</v>
      </c>
      <c r="AA26" s="182">
        <f t="shared" si="86"/>
        <v>0.14026172410614515</v>
      </c>
      <c r="AB26" s="182">
        <f t="shared" si="87"/>
        <v>1.4422754650206164</v>
      </c>
      <c r="AC26" s="182">
        <f t="shared" si="88"/>
        <v>35.052486915428268</v>
      </c>
      <c r="AD26" s="182">
        <f t="shared" si="89"/>
        <v>0.22818802345362837</v>
      </c>
      <c r="AE26" s="182">
        <f t="shared" si="90"/>
        <v>0.58262545708198932</v>
      </c>
      <c r="AF26" s="182">
        <f t="shared" si="91"/>
        <v>1.3203558929139103</v>
      </c>
      <c r="AG26" s="182">
        <f t="shared" si="92"/>
        <v>17.191844126940616</v>
      </c>
      <c r="AH26" s="182">
        <f t="shared" si="93"/>
        <v>0.15415895497658411</v>
      </c>
      <c r="AI26" s="182">
        <f t="shared" si="94"/>
        <v>0.2632407100382792</v>
      </c>
      <c r="AJ26" s="182">
        <f t="shared" si="95"/>
        <v>1.3015602496256913</v>
      </c>
      <c r="AK26" s="182">
        <f t="shared" si="96"/>
        <v>27.381771191423521</v>
      </c>
      <c r="AL26" s="182">
        <f t="shared" si="97"/>
        <v>0.26409123564660147</v>
      </c>
      <c r="AM26" s="182">
        <f t="shared" si="98"/>
        <v>0.45122041741174401</v>
      </c>
      <c r="AN26" s="182">
        <f t="shared" si="99"/>
        <v>0.98756329012593136</v>
      </c>
      <c r="AO26" s="180">
        <v>4.5057741558807587</v>
      </c>
      <c r="AP26" s="180">
        <v>0.24679406191935802</v>
      </c>
      <c r="AQ26" s="180">
        <v>0.33541694617941065</v>
      </c>
      <c r="AR26" s="180">
        <v>1.369938450483758</v>
      </c>
      <c r="AS26" s="180">
        <v>7.5932834237569669</v>
      </c>
      <c r="AT26" s="180">
        <v>0.36017874216462381</v>
      </c>
      <c r="AU26" s="181">
        <v>0.53400850581524317</v>
      </c>
      <c r="AV26" s="180">
        <v>1.1943299682413946</v>
      </c>
      <c r="AW26" s="200">
        <v>0.05</v>
      </c>
      <c r="AX26" s="183" t="s">
        <v>148</v>
      </c>
    </row>
    <row r="27" spans="1:50" x14ac:dyDescent="0.2">
      <c r="A27" s="184" t="s">
        <v>149</v>
      </c>
      <c r="B27" s="180">
        <f t="shared" si="68"/>
        <v>68.904394932036965</v>
      </c>
      <c r="C27" s="180">
        <f t="shared" si="69"/>
        <v>0.29072086659113328</v>
      </c>
      <c r="D27" s="180">
        <f t="shared" si="70"/>
        <v>0.3655659330161829</v>
      </c>
      <c r="E27" s="180">
        <f t="shared" si="71"/>
        <v>1.7287633871378336</v>
      </c>
      <c r="F27" s="180">
        <f t="shared" si="72"/>
        <v>72.53075218334034</v>
      </c>
      <c r="G27" s="180">
        <f t="shared" si="73"/>
        <v>0.43058710156939789</v>
      </c>
      <c r="H27" s="180">
        <f t="shared" si="74"/>
        <v>0.54823847158023653</v>
      </c>
      <c r="I27" s="180">
        <f t="shared" si="75"/>
        <v>0.84456826269814833</v>
      </c>
      <c r="J27" s="229">
        <f t="shared" si="36"/>
        <v>5.1755869949816152E-2</v>
      </c>
      <c r="P27" s="184" t="s">
        <v>149</v>
      </c>
      <c r="Q27" s="182">
        <f t="shared" si="76"/>
        <v>68.904394932036965</v>
      </c>
      <c r="R27" s="182">
        <f t="shared" si="77"/>
        <v>0.29072086659113328</v>
      </c>
      <c r="S27" s="182">
        <f t="shared" si="78"/>
        <v>0.3655659330161829</v>
      </c>
      <c r="T27" s="182">
        <f t="shared" si="79"/>
        <v>1.7287633871378336</v>
      </c>
      <c r="U27" s="182">
        <f t="shared" si="80"/>
        <v>72.53075218334034</v>
      </c>
      <c r="V27" s="182">
        <f t="shared" si="81"/>
        <v>0.43058710156939789</v>
      </c>
      <c r="W27" s="182">
        <f t="shared" si="82"/>
        <v>0.54823847158023653</v>
      </c>
      <c r="X27" s="182">
        <f t="shared" si="83"/>
        <v>0.84456826269814833</v>
      </c>
      <c r="Y27" s="182">
        <f t="shared" si="84"/>
        <v>27.664381111119258</v>
      </c>
      <c r="Z27" s="182">
        <f t="shared" si="85"/>
        <v>0.14332042331827144</v>
      </c>
      <c r="AA27" s="182">
        <f t="shared" si="86"/>
        <v>0.19612829046193728</v>
      </c>
      <c r="AB27" s="182">
        <f t="shared" si="87"/>
        <v>1.3443093253115559</v>
      </c>
      <c r="AC27" s="182">
        <f t="shared" si="88"/>
        <v>39.295296140609992</v>
      </c>
      <c r="AD27" s="182">
        <f t="shared" si="89"/>
        <v>0.23079965801972194</v>
      </c>
      <c r="AE27" s="182">
        <f t="shared" si="90"/>
        <v>0.58342466513639224</v>
      </c>
      <c r="AF27" s="182">
        <f t="shared" si="91"/>
        <v>1.2249115876402268</v>
      </c>
      <c r="AG27" s="182">
        <f t="shared" si="92"/>
        <v>23.024900991104076</v>
      </c>
      <c r="AH27" s="182">
        <f t="shared" si="93"/>
        <v>0.13487273951720366</v>
      </c>
      <c r="AI27" s="182">
        <f t="shared" si="94"/>
        <v>0.25153825246870182</v>
      </c>
      <c r="AJ27" s="182">
        <f t="shared" si="95"/>
        <v>1.1836931164647273</v>
      </c>
      <c r="AK27" s="182">
        <f t="shared" si="96"/>
        <v>35.627290144744975</v>
      </c>
      <c r="AL27" s="182">
        <f t="shared" si="97"/>
        <v>0.23660105115487332</v>
      </c>
      <c r="AM27" s="182">
        <f t="shared" si="98"/>
        <v>0.40686309088512496</v>
      </c>
      <c r="AN27" s="182">
        <f t="shared" si="99"/>
        <v>0.92983715372951536</v>
      </c>
      <c r="AO27" s="180">
        <v>6.0345477228272211</v>
      </c>
      <c r="AP27" s="180">
        <v>0.27436600083191659</v>
      </c>
      <c r="AQ27" s="180">
        <v>0.35493758432249078</v>
      </c>
      <c r="AR27" s="180">
        <v>1.3297969281699482</v>
      </c>
      <c r="AS27" s="180">
        <v>8.8182263668183687</v>
      </c>
      <c r="AT27" s="180">
        <v>0.37513212267947676</v>
      </c>
      <c r="AU27" s="181">
        <v>0.53537474644950012</v>
      </c>
      <c r="AV27" s="180">
        <v>1.1540561722708749</v>
      </c>
      <c r="AW27" s="200">
        <v>5.1755869949816152E-2</v>
      </c>
      <c r="AX27" s="184" t="s">
        <v>149</v>
      </c>
    </row>
    <row r="28" spans="1:50" x14ac:dyDescent="0.2">
      <c r="A28" s="183" t="s">
        <v>150</v>
      </c>
      <c r="B28" s="180">
        <f t="shared" si="68"/>
        <v>70.045796329368613</v>
      </c>
      <c r="C28" s="180">
        <f t="shared" si="69"/>
        <v>0.45423127000451968</v>
      </c>
      <c r="D28" s="180">
        <f t="shared" si="70"/>
        <v>0.63181542044902306</v>
      </c>
      <c r="E28" s="180">
        <f t="shared" si="71"/>
        <v>2.4835812115085152</v>
      </c>
      <c r="F28" s="180">
        <f t="shared" si="72"/>
        <v>120.02278024519522</v>
      </c>
      <c r="G28" s="180">
        <f t="shared" si="73"/>
        <v>0.72851827599546726</v>
      </c>
      <c r="H28" s="180">
        <f t="shared" si="74"/>
        <v>1.0360725164192575</v>
      </c>
      <c r="I28" s="180">
        <f t="shared" si="75"/>
        <v>1.1693740019070336</v>
      </c>
      <c r="J28" s="229">
        <f t="shared" si="36"/>
        <v>0.81006756300635174</v>
      </c>
      <c r="P28" s="183" t="s">
        <v>150</v>
      </c>
      <c r="Q28" s="182">
        <f t="shared" si="76"/>
        <v>70.045796329368613</v>
      </c>
      <c r="R28" s="182">
        <f t="shared" si="77"/>
        <v>0.45423127000451968</v>
      </c>
      <c r="S28" s="182">
        <f t="shared" si="78"/>
        <v>0.63181542044902306</v>
      </c>
      <c r="T28" s="182">
        <f t="shared" si="79"/>
        <v>2.4835812115085152</v>
      </c>
      <c r="U28" s="182">
        <f t="shared" si="80"/>
        <v>120.02278024519522</v>
      </c>
      <c r="V28" s="182">
        <f t="shared" si="81"/>
        <v>0.72851827599546726</v>
      </c>
      <c r="W28" s="182">
        <f t="shared" si="82"/>
        <v>1.0360725164192575</v>
      </c>
      <c r="X28" s="182">
        <f t="shared" si="83"/>
        <v>1.1693740019070336</v>
      </c>
      <c r="Y28" s="182">
        <f t="shared" si="84"/>
        <v>44.135894269567402</v>
      </c>
      <c r="Z28" s="182">
        <f t="shared" si="85"/>
        <v>0.26202457209075153</v>
      </c>
      <c r="AA28" s="182">
        <f t="shared" si="86"/>
        <v>0.51435209263993009</v>
      </c>
      <c r="AB28" s="182">
        <f t="shared" si="87"/>
        <v>1.6487466457832962</v>
      </c>
      <c r="AC28" s="182">
        <f t="shared" si="88"/>
        <v>77.17304762680115</v>
      </c>
      <c r="AD28" s="182">
        <f t="shared" si="89"/>
        <v>0.37476693659412486</v>
      </c>
      <c r="AE28" s="182">
        <f t="shared" si="90"/>
        <v>1.1858647783030061</v>
      </c>
      <c r="AF28" s="182">
        <f t="shared" si="91"/>
        <v>1.3673342415184842</v>
      </c>
      <c r="AG28" s="182">
        <f t="shared" si="92"/>
        <v>67.346683638744679</v>
      </c>
      <c r="AH28" s="182">
        <f t="shared" si="93"/>
        <v>0.38077342798442482</v>
      </c>
      <c r="AI28" s="182">
        <f t="shared" si="94"/>
        <v>0.53268508644018142</v>
      </c>
      <c r="AJ28" s="182">
        <f t="shared" si="95"/>
        <v>1.8031589239677537</v>
      </c>
      <c r="AK28" s="182">
        <f t="shared" si="96"/>
        <v>120.62070294712083</v>
      </c>
      <c r="AL28" s="182">
        <f t="shared" si="97"/>
        <v>0.55785046834265495</v>
      </c>
      <c r="AM28" s="182">
        <f t="shared" si="98"/>
        <v>0.9224874925999188</v>
      </c>
      <c r="AN28" s="182">
        <f t="shared" si="99"/>
        <v>1.1929140498165145</v>
      </c>
      <c r="AO28" s="180">
        <v>17.650750226859682</v>
      </c>
      <c r="AP28" s="180">
        <v>0.38401370744813623</v>
      </c>
      <c r="AQ28" s="180">
        <v>0.64989437956803942</v>
      </c>
      <c r="AR28" s="180">
        <v>1.4223821589084609</v>
      </c>
      <c r="AS28" s="180">
        <v>21.639412863850595</v>
      </c>
      <c r="AT28" s="180">
        <v>0.51743064119280979</v>
      </c>
      <c r="AU28" s="180">
        <v>0.89411434964809033</v>
      </c>
      <c r="AV28" s="180">
        <v>1.1804967979022434</v>
      </c>
      <c r="AW28" s="180">
        <v>0.81006756300635174</v>
      </c>
      <c r="AX28" s="183" t="s">
        <v>150</v>
      </c>
    </row>
    <row r="29" spans="1:50" x14ac:dyDescent="0.2">
      <c r="A29" s="184" t="s">
        <v>151</v>
      </c>
      <c r="B29" s="180">
        <f t="shared" si="68"/>
        <v>80.251908125998568</v>
      </c>
      <c r="C29" s="180">
        <f t="shared" si="69"/>
        <v>0.4498075727148686</v>
      </c>
      <c r="D29" s="180">
        <f t="shared" si="70"/>
        <v>0.62567842436383814</v>
      </c>
      <c r="E29" s="180">
        <f t="shared" si="71"/>
        <v>2.4433185139768043</v>
      </c>
      <c r="F29" s="180">
        <f t="shared" si="72"/>
        <v>99.151313516016586</v>
      </c>
      <c r="G29" s="180">
        <f t="shared" si="73"/>
        <v>0.70581383041375712</v>
      </c>
      <c r="H29" s="180">
        <f t="shared" si="74"/>
        <v>1.0159249749948545</v>
      </c>
      <c r="I29" s="180">
        <f t="shared" si="75"/>
        <v>1.15758847734091</v>
      </c>
      <c r="J29" s="229">
        <f t="shared" si="36"/>
        <v>0.52974129655793456</v>
      </c>
      <c r="P29" s="184" t="s">
        <v>151</v>
      </c>
      <c r="Q29" s="182">
        <f>Q44*AO29/AO44</f>
        <v>80.251908125998568</v>
      </c>
      <c r="R29" s="182">
        <f t="shared" si="77"/>
        <v>0.4498075727148686</v>
      </c>
      <c r="S29" s="182">
        <f t="shared" si="78"/>
        <v>0.62567842436383814</v>
      </c>
      <c r="T29" s="182">
        <f t="shared" si="79"/>
        <v>2.4433185139768043</v>
      </c>
      <c r="U29" s="182">
        <f t="shared" si="80"/>
        <v>99.151313516016586</v>
      </c>
      <c r="V29" s="182">
        <f t="shared" si="81"/>
        <v>0.70581383041375712</v>
      </c>
      <c r="W29" s="182">
        <f t="shared" si="82"/>
        <v>1.0159249749948545</v>
      </c>
      <c r="X29" s="182">
        <f t="shared" si="83"/>
        <v>1.15758847734091</v>
      </c>
      <c r="Y29" s="182">
        <f>Y44*AO29/AO44</f>
        <v>47.171522789783538</v>
      </c>
      <c r="Z29" s="182">
        <f t="shared" si="85"/>
        <v>0.242050748628512</v>
      </c>
      <c r="AA29" s="182">
        <f t="shared" si="86"/>
        <v>0.49913657855228727</v>
      </c>
      <c r="AB29" s="182">
        <f t="shared" si="87"/>
        <v>1.5846165832254107</v>
      </c>
      <c r="AC29" s="182">
        <f t="shared" si="88"/>
        <v>61.263326074638258</v>
      </c>
      <c r="AD29" s="182">
        <f t="shared" si="89"/>
        <v>0.34890814895024125</v>
      </c>
      <c r="AE29" s="182">
        <f t="shared" si="90"/>
        <v>1.1154175008970373</v>
      </c>
      <c r="AF29" s="182">
        <f t="shared" si="91"/>
        <v>1.3440516810040672</v>
      </c>
      <c r="AG29" s="182">
        <f>AG44*AO29/AO44</f>
        <v>25.735715688415354</v>
      </c>
      <c r="AH29" s="182">
        <f t="shared" si="93"/>
        <v>0.37706512674543446</v>
      </c>
      <c r="AI29" s="182">
        <f t="shared" si="94"/>
        <v>0.52751097041782069</v>
      </c>
      <c r="AJ29" s="182">
        <f t="shared" si="95"/>
        <v>1.7739269254243195</v>
      </c>
      <c r="AK29" s="182">
        <f t="shared" si="96"/>
        <v>33.235589757235779</v>
      </c>
      <c r="AL29" s="182">
        <f t="shared" si="97"/>
        <v>0.5404649256341888</v>
      </c>
      <c r="AM29" s="182">
        <f t="shared" si="98"/>
        <v>0.90454873380059775</v>
      </c>
      <c r="AN29" s="182">
        <f t="shared" si="99"/>
        <v>1.1808912771052529</v>
      </c>
      <c r="AO29" s="182">
        <v>6.7450194275692592</v>
      </c>
      <c r="AP29" s="182">
        <v>0.37130904898652894</v>
      </c>
      <c r="AQ29" s="180">
        <v>0.63802885751625571</v>
      </c>
      <c r="AR29" s="182">
        <v>1.4111280302809817</v>
      </c>
      <c r="AS29" s="182">
        <v>10.667254445978573</v>
      </c>
      <c r="AT29" s="182">
        <v>0.5080747666209936</v>
      </c>
      <c r="AU29" s="181">
        <v>0.87498108449258971</v>
      </c>
      <c r="AV29" s="182">
        <v>1.1743363564355034</v>
      </c>
      <c r="AW29" s="198">
        <v>0.52974129655793456</v>
      </c>
      <c r="AX29" s="184" t="s">
        <v>151</v>
      </c>
    </row>
    <row r="31" spans="1:50" x14ac:dyDescent="0.2">
      <c r="B31" t="s">
        <v>129</v>
      </c>
      <c r="Q31" s="192" t="s">
        <v>129</v>
      </c>
      <c r="Y31" s="192" t="s">
        <v>129</v>
      </c>
      <c r="AG31" s="192" t="s">
        <v>129</v>
      </c>
      <c r="AO31" s="192" t="s">
        <v>129</v>
      </c>
    </row>
    <row r="32" spans="1:50" x14ac:dyDescent="0.2">
      <c r="B32" s="185" t="s">
        <v>133</v>
      </c>
      <c r="C32" s="185" t="s">
        <v>134</v>
      </c>
      <c r="D32" s="185" t="s">
        <v>135</v>
      </c>
      <c r="E32" s="185" t="s">
        <v>139</v>
      </c>
      <c r="F32" s="185" t="s">
        <v>136</v>
      </c>
      <c r="G32" s="185" t="s">
        <v>137</v>
      </c>
      <c r="H32" s="185" t="s">
        <v>138</v>
      </c>
      <c r="I32" s="186" t="s">
        <v>160</v>
      </c>
      <c r="J32" s="185" t="s">
        <v>183</v>
      </c>
      <c r="Q32" s="185" t="s">
        <v>133</v>
      </c>
      <c r="R32" s="185" t="s">
        <v>134</v>
      </c>
      <c r="S32" s="185" t="s">
        <v>135</v>
      </c>
      <c r="T32" s="185" t="s">
        <v>139</v>
      </c>
      <c r="U32" s="185" t="s">
        <v>136</v>
      </c>
      <c r="V32" s="185" t="s">
        <v>137</v>
      </c>
      <c r="W32" s="185" t="s">
        <v>138</v>
      </c>
      <c r="X32" s="186" t="s">
        <v>160</v>
      </c>
      <c r="Y32" s="185" t="s">
        <v>133</v>
      </c>
      <c r="Z32" s="185" t="s">
        <v>134</v>
      </c>
      <c r="AA32" s="185" t="s">
        <v>135</v>
      </c>
      <c r="AB32" s="185" t="s">
        <v>139</v>
      </c>
      <c r="AC32" s="185" t="s">
        <v>136</v>
      </c>
      <c r="AD32" s="185" t="s">
        <v>137</v>
      </c>
      <c r="AE32" s="185" t="s">
        <v>138</v>
      </c>
      <c r="AF32" s="186" t="s">
        <v>160</v>
      </c>
      <c r="AG32" s="185" t="s">
        <v>133</v>
      </c>
      <c r="AH32" s="185" t="s">
        <v>134</v>
      </c>
      <c r="AI32" s="185" t="s">
        <v>135</v>
      </c>
      <c r="AJ32" s="185" t="s">
        <v>139</v>
      </c>
      <c r="AK32" s="185" t="s">
        <v>136</v>
      </c>
      <c r="AL32" s="185" t="s">
        <v>137</v>
      </c>
      <c r="AM32" s="185" t="s">
        <v>138</v>
      </c>
      <c r="AN32" s="186" t="s">
        <v>160</v>
      </c>
      <c r="AO32" s="185" t="s">
        <v>133</v>
      </c>
      <c r="AP32" s="185" t="s">
        <v>134</v>
      </c>
      <c r="AQ32" s="185" t="s">
        <v>135</v>
      </c>
      <c r="AR32" s="185" t="s">
        <v>139</v>
      </c>
      <c r="AS32" s="185" t="s">
        <v>136</v>
      </c>
      <c r="AT32" s="185" t="s">
        <v>137</v>
      </c>
      <c r="AU32" s="185" t="s">
        <v>138</v>
      </c>
      <c r="AV32" s="186" t="s">
        <v>160</v>
      </c>
    </row>
    <row r="33" spans="1:50" x14ac:dyDescent="0.2">
      <c r="A33" s="183" t="s">
        <v>140</v>
      </c>
      <c r="B33" s="179">
        <f>(B34+B35+B36+B37)/4</f>
        <v>77.756865289347019</v>
      </c>
      <c r="C33" s="179">
        <f t="shared" ref="C33:I33" si="100">(C34+C35+C36+C37)/4</f>
        <v>0.40499939767124193</v>
      </c>
      <c r="D33" s="179">
        <f t="shared" si="100"/>
        <v>0.4982364305993835</v>
      </c>
      <c r="E33" s="179">
        <f t="shared" si="100"/>
        <v>2.7789545788274448</v>
      </c>
      <c r="F33" s="179">
        <f t="shared" si="100"/>
        <v>128.61511056376415</v>
      </c>
      <c r="G33" s="179">
        <f t="shared" si="100"/>
        <v>0.74452789675973308</v>
      </c>
      <c r="H33" s="179">
        <f t="shared" si="100"/>
        <v>1.0842074325982816</v>
      </c>
      <c r="I33" s="179">
        <f t="shared" si="100"/>
        <v>1.3064869617009707</v>
      </c>
      <c r="J33" s="229">
        <f t="shared" ref="J33:J44" si="101">AW33</f>
        <v>0.73276391409975394</v>
      </c>
      <c r="P33" s="183" t="s">
        <v>140</v>
      </c>
      <c r="Q33" s="179">
        <f>AVERAGE(Q34:Q37)</f>
        <v>77.756865289347019</v>
      </c>
      <c r="R33" s="179">
        <f t="shared" ref="R33" si="102">AVERAGE(R34:R37)</f>
        <v>0.40499939767124193</v>
      </c>
      <c r="S33" s="179">
        <f t="shared" ref="S33" si="103">AVERAGE(S34:S37)</f>
        <v>0.4982364305993835</v>
      </c>
      <c r="T33" s="179">
        <f t="shared" ref="T33" si="104">AVERAGE(T34:T37)</f>
        <v>2.7789545788274448</v>
      </c>
      <c r="U33" s="179">
        <f t="shared" ref="U33" si="105">AVERAGE(U34:U37)</f>
        <v>128.61511056376415</v>
      </c>
      <c r="V33" s="179">
        <f t="shared" ref="V33" si="106">AVERAGE(V34:V37)</f>
        <v>0.74452789675973308</v>
      </c>
      <c r="W33" s="179">
        <f t="shared" ref="W33" si="107">AVERAGE(W34:W37)</f>
        <v>1.0842074325982816</v>
      </c>
      <c r="X33" s="179">
        <f t="shared" ref="X33" si="108">AVERAGE(X34:X37)</f>
        <v>1.3064869617009707</v>
      </c>
      <c r="Y33" s="179">
        <f t="shared" ref="Y33" si="109">AVERAGE(Y34:Y37)</f>
        <v>26.099146427329007</v>
      </c>
      <c r="Z33" s="179">
        <f t="shared" ref="Z33" si="110">AVERAGE(Z34:Z37)</f>
        <v>0.14821711941821269</v>
      </c>
      <c r="AA33" s="179">
        <f t="shared" ref="AA33" si="111">AVERAGE(AA34:AA37)</f>
        <v>0.37669147025807392</v>
      </c>
      <c r="AB33" s="179">
        <f t="shared" ref="AB33" si="112">AVERAGE(AB34:AB37)</f>
        <v>1.7406837220739879</v>
      </c>
      <c r="AC33" s="179">
        <f t="shared" ref="AC33" si="113">AVERAGE(AC34:AC37)</f>
        <v>62.605074522414085</v>
      </c>
      <c r="AD33" s="179">
        <f t="shared" ref="AD33" si="114">AVERAGE(AD34:AD37)</f>
        <v>0.31380481111513892</v>
      </c>
      <c r="AE33" s="179">
        <f t="shared" ref="AE33" si="115">AVERAGE(AE34:AE37)</f>
        <v>1.1491652126956835</v>
      </c>
      <c r="AF33" s="179">
        <f t="shared" ref="AF33" si="116">AVERAGE(AF34:AF37)</f>
        <v>1.4398322391739224</v>
      </c>
      <c r="AG33" s="179">
        <f t="shared" ref="AG33" si="117">AVERAGE(AG34:AG37)</f>
        <v>60.302395271869202</v>
      </c>
      <c r="AH33" s="179">
        <f t="shared" ref="AH33" si="118">AVERAGE(AH34:AH37)</f>
        <v>0.2327023709673687</v>
      </c>
      <c r="AI33" s="179">
        <f t="shared" ref="AI33" si="119">AVERAGE(AI34:AI37)</f>
        <v>0.42496007257141322</v>
      </c>
      <c r="AJ33" s="179">
        <f t="shared" ref="AJ33" si="120">AVERAGE(AJ34:AJ37)</f>
        <v>1.8278658904509628</v>
      </c>
      <c r="AK33" s="179">
        <f t="shared" ref="AK33" si="121">AVERAGE(AK34:AK37)</f>
        <v>134.66544294196504</v>
      </c>
      <c r="AL33" s="179">
        <f t="shared" ref="AL33" si="122">AVERAGE(AL34:AL37)</f>
        <v>0.45811824228014275</v>
      </c>
      <c r="AM33" s="179">
        <f t="shared" ref="AM33" si="123">AVERAGE(AM34:AM37)</f>
        <v>0.89293868228682183</v>
      </c>
      <c r="AN33" s="179">
        <f t="shared" ref="AN33" si="124">AVERAGE(AN34:AN37)</f>
        <v>1.2195480268101684</v>
      </c>
      <c r="AO33" s="179">
        <f t="shared" ref="AO33" si="125">AVERAGE(AO34:AO37)</f>
        <v>15.712515948177099</v>
      </c>
      <c r="AP33" s="179">
        <f t="shared" ref="AP33" si="126">AVERAGE(AP34:AP37)</f>
        <v>0.31883778336545254</v>
      </c>
      <c r="AQ33" s="179">
        <f t="shared" ref="AQ33" si="127">AVERAGE(AQ34:AQ37)</f>
        <v>0.50870692775349013</v>
      </c>
      <c r="AR33" s="179">
        <f t="shared" ref="AR33" si="128">AVERAGE(AR34:AR37)</f>
        <v>1.6422956983009591</v>
      </c>
      <c r="AS33" s="179">
        <f t="shared" ref="AS33" si="129">AVERAGE(AS34:AS37)</f>
        <v>20.919947777803127</v>
      </c>
      <c r="AT33" s="179">
        <f t="shared" ref="AT33" si="130">AVERAGE(AT34:AT37)</f>
        <v>0.5280531030446769</v>
      </c>
      <c r="AU33" s="179">
        <f t="shared" ref="AU33" si="131">AVERAGE(AU34:AU37)</f>
        <v>0.92803593330944956</v>
      </c>
      <c r="AV33" s="179">
        <f t="shared" ref="AV33" si="132">AVERAGE(AV34:AV37)</f>
        <v>1.3197589791738069</v>
      </c>
      <c r="AW33" s="230">
        <f>AVERAGE(AW34:AW37)</f>
        <v>0.73276391409975394</v>
      </c>
      <c r="AX33" s="183" t="s">
        <v>140</v>
      </c>
    </row>
    <row r="34" spans="1:50" x14ac:dyDescent="0.2">
      <c r="A34" s="184" t="s">
        <v>141</v>
      </c>
      <c r="B34" s="180">
        <f t="shared" ref="B34:B44" si="133">IF($O$1=1,Q34,IF($O$1=2,Y34,AG34))</f>
        <v>80.896290974959655</v>
      </c>
      <c r="C34" s="180">
        <f t="shared" ref="C34:C44" si="134">IF($O$1=1,R34,IF($O$1=2,Z34,AH34))</f>
        <v>0.43842897594893043</v>
      </c>
      <c r="D34" s="180">
        <f t="shared" ref="D34:D44" si="135">IF($O$1=1,S34,IF($O$1=2,AA34,AI34))</f>
        <v>0.56380166161480416</v>
      </c>
      <c r="E34" s="180">
        <f t="shared" ref="E34:E44" si="136">IF($O$1=1,T34,IF($O$1=2,AB34,AJ34))</f>
        <v>2.9084059981740555</v>
      </c>
      <c r="F34" s="180">
        <f t="shared" ref="F34:F44" si="137">IF($O$1=1,U34,IF($O$1=2,AC34,AK34))</f>
        <v>135.01895022619036</v>
      </c>
      <c r="G34" s="180">
        <f t="shared" ref="G34:G44" si="138">IF($O$1=1,V34,IF($O$1=2,AD34,AL34))</f>
        <v>0.80592786550882356</v>
      </c>
      <c r="H34" s="180">
        <f t="shared" ref="H34:H44" si="139">IF($O$1=1,W34,IF($O$1=2,AE34,AM34))</f>
        <v>1.0911243123573287</v>
      </c>
      <c r="I34" s="180">
        <f t="shared" ref="I34:I44" si="140">IF($O$1=1,X34,IF($O$1=2,AF34,AN34))</f>
        <v>1.3107804221405783</v>
      </c>
      <c r="J34" s="229">
        <f t="shared" si="101"/>
        <v>0.7</v>
      </c>
      <c r="P34" s="184" t="s">
        <v>141</v>
      </c>
      <c r="Q34" s="182">
        <f t="shared" ref="Q34:Q43" si="141">Q49*AO34/AO49</f>
        <v>80.896290974959655</v>
      </c>
      <c r="R34" s="182">
        <f t="shared" ref="R34:R44" si="142">R49*AP34/AP49</f>
        <v>0.43842897594893043</v>
      </c>
      <c r="S34" s="182">
        <f t="shared" ref="S34:S44" si="143">S49*AQ34/AQ49</f>
        <v>0.56380166161480416</v>
      </c>
      <c r="T34" s="182">
        <f t="shared" ref="T34:T44" si="144">T49*AR34/AR49</f>
        <v>2.9084059981740555</v>
      </c>
      <c r="U34" s="182">
        <f t="shared" ref="U34:U44" si="145">U49*AS34/AS49</f>
        <v>135.01895022619036</v>
      </c>
      <c r="V34" s="182">
        <f t="shared" ref="V34:V44" si="146">V49*AT34/AT49</f>
        <v>0.80592786550882356</v>
      </c>
      <c r="W34" s="182">
        <f t="shared" ref="W34:W44" si="147">W49*AU34/AU49</f>
        <v>1.0911243123573287</v>
      </c>
      <c r="X34" s="182">
        <f t="shared" ref="X34:X44" si="148">X49*AV34/AV49</f>
        <v>1.3107804221405783</v>
      </c>
      <c r="Y34" s="182">
        <f t="shared" ref="Y34:Y43" si="149">Y49*AO34/AO49</f>
        <v>31.345012031869118</v>
      </c>
      <c r="Z34" s="182">
        <f t="shared" ref="Z34:Z44" si="150">Z49*AP34/AP49</f>
        <v>0.16121922612469605</v>
      </c>
      <c r="AA34" s="182">
        <f t="shared" ref="AA34:AA44" si="151">AA49*AQ34/AQ49</f>
        <v>0.37805466110008135</v>
      </c>
      <c r="AB34" s="182">
        <f t="shared" ref="AB34:AB44" si="152">AB49*AR34/AR49</f>
        <v>1.8924862917538838</v>
      </c>
      <c r="AC34" s="182">
        <f t="shared" ref="AC34:AC44" si="153">AC49*AS34/AS49</f>
        <v>69.627710121825842</v>
      </c>
      <c r="AD34" s="182">
        <f t="shared" ref="AD34:AD44" si="154">AD49*AT34/AT49</f>
        <v>0.34697299325707393</v>
      </c>
      <c r="AE34" s="182">
        <f t="shared" ref="AE34:AE44" si="155">AE49*AU34/AU49</f>
        <v>1.1519841579747456</v>
      </c>
      <c r="AF34" s="182">
        <f t="shared" ref="AF34:AF44" si="156">AF49*AV34/AV49</f>
        <v>1.5728933904951872</v>
      </c>
      <c r="AG34" s="182">
        <f t="shared" ref="AG34:AG43" si="157">AG49*AO34/AO49</f>
        <v>67.010051436583595</v>
      </c>
      <c r="AH34" s="182">
        <f t="shared" ref="AH34:AH44" si="158">AH49*AP34/AP49</f>
        <v>0.23392745720206737</v>
      </c>
      <c r="AI34" s="182">
        <f t="shared" ref="AI34:AI44" si="159">AI49*AQ34/AQ49</f>
        <v>0.41871786022740687</v>
      </c>
      <c r="AJ34" s="182">
        <f t="shared" ref="AJ34:AJ44" si="160">AJ49*AR34/AR49</f>
        <v>2.148307745019284</v>
      </c>
      <c r="AK34" s="182">
        <f t="shared" ref="AK34:AK44" si="161">AK49*AS34/AS49</f>
        <v>159.96151406900626</v>
      </c>
      <c r="AL34" s="182">
        <f t="shared" ref="AL34:AL44" si="162">AL49*AT34/AT49</f>
        <v>0.5410307181181816</v>
      </c>
      <c r="AM34" s="182">
        <f t="shared" ref="AM34:AM44" si="163">AM49*AU34/AU49</f>
        <v>0.96644530505832082</v>
      </c>
      <c r="AN34" s="182">
        <f t="shared" ref="AN34:AN44" si="164">AN49*AV34/AV49</f>
        <v>1.4405313248662819</v>
      </c>
      <c r="AO34" s="180">
        <v>12.822737423699863</v>
      </c>
      <c r="AP34" s="180">
        <v>0.33483702866827769</v>
      </c>
      <c r="AQ34" s="180">
        <v>0.60928448442573924</v>
      </c>
      <c r="AR34" s="180">
        <v>1.6428568770106022</v>
      </c>
      <c r="AS34" s="181">
        <v>18.122808574101864</v>
      </c>
      <c r="AT34" s="181">
        <v>0.54755525973935926</v>
      </c>
      <c r="AU34" s="181">
        <v>0.92389485918176484</v>
      </c>
      <c r="AV34" s="180">
        <v>1.3056322106948266</v>
      </c>
      <c r="AW34" s="199">
        <v>0.7</v>
      </c>
      <c r="AX34" s="184" t="s">
        <v>141</v>
      </c>
    </row>
    <row r="35" spans="1:50" x14ac:dyDescent="0.2">
      <c r="A35" s="183" t="s">
        <v>142</v>
      </c>
      <c r="B35" s="180">
        <f t="shared" si="133"/>
        <v>82.059939517500041</v>
      </c>
      <c r="C35" s="180">
        <f t="shared" si="134"/>
        <v>0.39084071467429377</v>
      </c>
      <c r="D35" s="180">
        <f t="shared" si="135"/>
        <v>0.47919402629825719</v>
      </c>
      <c r="E35" s="180">
        <f t="shared" si="136"/>
        <v>2.6335411214715796</v>
      </c>
      <c r="F35" s="180">
        <f t="shared" si="137"/>
        <v>137.59497406307878</v>
      </c>
      <c r="G35" s="180">
        <f t="shared" si="138"/>
        <v>0.72594332336548917</v>
      </c>
      <c r="H35" s="180">
        <f t="shared" si="139"/>
        <v>1.0231479390915363</v>
      </c>
      <c r="I35" s="180">
        <f t="shared" si="140"/>
        <v>1.2469970989294223</v>
      </c>
      <c r="J35" s="229">
        <f t="shared" si="101"/>
        <v>0.86006559119765569</v>
      </c>
      <c r="P35" s="183" t="s">
        <v>142</v>
      </c>
      <c r="Q35" s="182">
        <f t="shared" si="141"/>
        <v>82.059939517500041</v>
      </c>
      <c r="R35" s="182">
        <f t="shared" si="142"/>
        <v>0.39084071467429377</v>
      </c>
      <c r="S35" s="182">
        <f t="shared" si="143"/>
        <v>0.47919402629825719</v>
      </c>
      <c r="T35" s="182">
        <f t="shared" si="144"/>
        <v>2.6335411214715796</v>
      </c>
      <c r="U35" s="182">
        <f t="shared" si="145"/>
        <v>137.59497406307878</v>
      </c>
      <c r="V35" s="182">
        <f t="shared" si="146"/>
        <v>0.72594332336548917</v>
      </c>
      <c r="W35" s="182">
        <f t="shared" si="147"/>
        <v>1.0231479390915363</v>
      </c>
      <c r="X35" s="182">
        <f t="shared" si="148"/>
        <v>1.2469970989294223</v>
      </c>
      <c r="Y35" s="182">
        <f t="shared" si="149"/>
        <v>25.507605123202076</v>
      </c>
      <c r="Z35" s="182">
        <f t="shared" si="150"/>
        <v>0.15774152633605076</v>
      </c>
      <c r="AA35" s="182">
        <f t="shared" si="151"/>
        <v>0.37273281573101424</v>
      </c>
      <c r="AB35" s="182">
        <f t="shared" si="152"/>
        <v>1.666278754240754</v>
      </c>
      <c r="AC35" s="182">
        <f t="shared" si="153"/>
        <v>62.450095777958389</v>
      </c>
      <c r="AD35" s="182">
        <f t="shared" si="154"/>
        <v>0.31514203869199386</v>
      </c>
      <c r="AE35" s="182">
        <f t="shared" si="155"/>
        <v>1.1197363606209048</v>
      </c>
      <c r="AF35" s="182">
        <f t="shared" si="156"/>
        <v>1.3570190584708983</v>
      </c>
      <c r="AG35" s="182">
        <f t="shared" si="157"/>
        <v>54.530715432234913</v>
      </c>
      <c r="AH35" s="182">
        <f t="shared" si="158"/>
        <v>0.22888135018353645</v>
      </c>
      <c r="AI35" s="182">
        <f t="shared" si="159"/>
        <v>0.41282360224123954</v>
      </c>
      <c r="AJ35" s="182">
        <f t="shared" si="160"/>
        <v>1.8915220515436266</v>
      </c>
      <c r="AK35" s="182">
        <f t="shared" si="161"/>
        <v>143.47178525500996</v>
      </c>
      <c r="AL35" s="182">
        <f t="shared" si="162"/>
        <v>0.49139710241491846</v>
      </c>
      <c r="AM35" s="182">
        <f t="shared" si="163"/>
        <v>0.93939134590849849</v>
      </c>
      <c r="AN35" s="182">
        <f t="shared" si="164"/>
        <v>1.242823241537335</v>
      </c>
      <c r="AO35" s="180">
        <v>18.907222921724578</v>
      </c>
      <c r="AP35" s="180">
        <v>0.32882363596975661</v>
      </c>
      <c r="AQ35" s="180">
        <v>0.48859230057554709</v>
      </c>
      <c r="AR35" s="180">
        <v>1.62525724982604</v>
      </c>
      <c r="AS35" s="181">
        <v>23.752126862605412</v>
      </c>
      <c r="AT35" s="181">
        <v>0.52648285609216261</v>
      </c>
      <c r="AU35" s="181">
        <v>0.89747472546803642</v>
      </c>
      <c r="AV35" s="180">
        <v>1.3071840084516084</v>
      </c>
      <c r="AW35" s="199">
        <v>0.86006559119765569</v>
      </c>
      <c r="AX35" s="183" t="s">
        <v>142</v>
      </c>
    </row>
    <row r="36" spans="1:50" x14ac:dyDescent="0.2">
      <c r="A36" s="184" t="s">
        <v>143</v>
      </c>
      <c r="B36" s="180">
        <f t="shared" si="133"/>
        <v>100.81958459004615</v>
      </c>
      <c r="C36" s="180">
        <f t="shared" si="134"/>
        <v>0.45778399379561069</v>
      </c>
      <c r="D36" s="180">
        <f t="shared" si="135"/>
        <v>0.52158372368867811</v>
      </c>
      <c r="E36" s="180">
        <f t="shared" si="136"/>
        <v>2.8228051488287869</v>
      </c>
      <c r="F36" s="180">
        <f t="shared" si="137"/>
        <v>131.26591374811866</v>
      </c>
      <c r="G36" s="180">
        <f t="shared" si="138"/>
        <v>0.71794359593397372</v>
      </c>
      <c r="H36" s="180">
        <f t="shared" si="139"/>
        <v>1.2489735573230629</v>
      </c>
      <c r="I36" s="180">
        <f t="shared" si="140"/>
        <v>1.1624217604907023</v>
      </c>
      <c r="J36" s="229">
        <f t="shared" si="101"/>
        <v>0.67099006520136051</v>
      </c>
      <c r="P36" s="184" t="s">
        <v>143</v>
      </c>
      <c r="Q36" s="182">
        <f t="shared" si="141"/>
        <v>100.81958459004615</v>
      </c>
      <c r="R36" s="182">
        <f t="shared" si="142"/>
        <v>0.45778399379561069</v>
      </c>
      <c r="S36" s="182">
        <f t="shared" si="143"/>
        <v>0.52158372368867811</v>
      </c>
      <c r="T36" s="182">
        <f t="shared" si="144"/>
        <v>2.8228051488287869</v>
      </c>
      <c r="U36" s="182">
        <f t="shared" si="145"/>
        <v>131.26591374811866</v>
      </c>
      <c r="V36" s="182">
        <f t="shared" si="146"/>
        <v>0.71794359593397372</v>
      </c>
      <c r="W36" s="182">
        <f t="shared" si="147"/>
        <v>1.2489735573230629</v>
      </c>
      <c r="X36" s="182">
        <f t="shared" si="148"/>
        <v>1.1624217604907023</v>
      </c>
      <c r="Y36" s="182">
        <f t="shared" si="149"/>
        <v>22.181809337497299</v>
      </c>
      <c r="Z36" s="182">
        <f t="shared" si="150"/>
        <v>0.13171859789744197</v>
      </c>
      <c r="AA36" s="182">
        <f t="shared" si="151"/>
        <v>0.25055115132160655</v>
      </c>
      <c r="AB36" s="182">
        <f t="shared" si="152"/>
        <v>1.8046401787027728</v>
      </c>
      <c r="AC36" s="182">
        <f t="shared" si="153"/>
        <v>56.32017322793763</v>
      </c>
      <c r="AD36" s="182">
        <f t="shared" si="154"/>
        <v>0.29159602090795655</v>
      </c>
      <c r="AE36" s="182">
        <f t="shared" si="155"/>
        <v>1.1280722221202946</v>
      </c>
      <c r="AF36" s="182">
        <f t="shared" si="156"/>
        <v>1.5247839835644763</v>
      </c>
      <c r="AG36" s="182">
        <f t="shared" si="157"/>
        <v>56.137121948999507</v>
      </c>
      <c r="AH36" s="182">
        <f t="shared" si="158"/>
        <v>0.22625236730111725</v>
      </c>
      <c r="AI36" s="182">
        <f t="shared" si="159"/>
        <v>0.41496735717721239</v>
      </c>
      <c r="AJ36" s="182">
        <f t="shared" si="160"/>
        <v>1.7543196334002527</v>
      </c>
      <c r="AK36" s="182">
        <f t="shared" si="161"/>
        <v>111.44456733260154</v>
      </c>
      <c r="AL36" s="182">
        <f t="shared" si="162"/>
        <v>0.39162406532743671</v>
      </c>
      <c r="AM36" s="182">
        <f t="shared" si="163"/>
        <v>0.93087865776085033</v>
      </c>
      <c r="AN36" s="182">
        <f t="shared" si="164"/>
        <v>1.1502980711679502</v>
      </c>
      <c r="AO36" s="180">
        <v>8.8307784217067802</v>
      </c>
      <c r="AP36" s="180">
        <v>0.19155852003658205</v>
      </c>
      <c r="AQ36" s="180">
        <v>0.33690804374670574</v>
      </c>
      <c r="AR36" s="180">
        <v>1.7394296617653124</v>
      </c>
      <c r="AS36" s="181">
        <v>14.865889513339752</v>
      </c>
      <c r="AT36" s="181">
        <v>0.43249620972440028</v>
      </c>
      <c r="AU36" s="181">
        <v>0.97088264941405023</v>
      </c>
      <c r="AV36" s="180">
        <v>1.4685793503736839</v>
      </c>
      <c r="AW36" s="199">
        <v>0.67099006520136051</v>
      </c>
      <c r="AX36" s="184" t="s">
        <v>143</v>
      </c>
    </row>
    <row r="37" spans="1:50" x14ac:dyDescent="0.2">
      <c r="A37" s="183" t="s">
        <v>144</v>
      </c>
      <c r="B37" s="180">
        <f t="shared" si="133"/>
        <v>47.251646074882203</v>
      </c>
      <c r="C37" s="180">
        <f t="shared" si="134"/>
        <v>0.33294390626613279</v>
      </c>
      <c r="D37" s="180">
        <f t="shared" si="135"/>
        <v>0.42836631079579457</v>
      </c>
      <c r="E37" s="180">
        <f t="shared" si="136"/>
        <v>2.7510660468353567</v>
      </c>
      <c r="F37" s="180">
        <f t="shared" si="137"/>
        <v>110.58060421766882</v>
      </c>
      <c r="G37" s="180">
        <f t="shared" si="138"/>
        <v>0.72829680223064586</v>
      </c>
      <c r="H37" s="180">
        <f t="shared" si="139"/>
        <v>0.97358392162119856</v>
      </c>
      <c r="I37" s="180">
        <f t="shared" si="140"/>
        <v>1.5057485652431797</v>
      </c>
      <c r="J37" s="229">
        <f t="shared" si="101"/>
        <v>0.7</v>
      </c>
      <c r="P37" s="183" t="s">
        <v>144</v>
      </c>
      <c r="Q37" s="182">
        <f t="shared" si="141"/>
        <v>47.251646074882203</v>
      </c>
      <c r="R37" s="182">
        <f t="shared" si="142"/>
        <v>0.33294390626613279</v>
      </c>
      <c r="S37" s="182">
        <f t="shared" si="143"/>
        <v>0.42836631079579457</v>
      </c>
      <c r="T37" s="182">
        <f t="shared" si="144"/>
        <v>2.7510660468353567</v>
      </c>
      <c r="U37" s="182">
        <f t="shared" si="145"/>
        <v>110.58060421766882</v>
      </c>
      <c r="V37" s="182">
        <f t="shared" si="146"/>
        <v>0.72829680223064586</v>
      </c>
      <c r="W37" s="182">
        <f t="shared" si="147"/>
        <v>0.97358392162119856</v>
      </c>
      <c r="X37" s="182">
        <f t="shared" si="148"/>
        <v>1.5057485652431797</v>
      </c>
      <c r="Y37" s="182">
        <f t="shared" si="149"/>
        <v>25.362159216747539</v>
      </c>
      <c r="Z37" s="182">
        <f t="shared" si="150"/>
        <v>0.14218912731466188</v>
      </c>
      <c r="AA37" s="182">
        <f t="shared" si="151"/>
        <v>0.50542725287959345</v>
      </c>
      <c r="AB37" s="182">
        <f t="shared" si="152"/>
        <v>1.599329663598541</v>
      </c>
      <c r="AC37" s="182">
        <f t="shared" si="153"/>
        <v>62.022318961934481</v>
      </c>
      <c r="AD37" s="182">
        <f t="shared" si="154"/>
        <v>0.30150819160353115</v>
      </c>
      <c r="AE37" s="182">
        <f t="shared" si="155"/>
        <v>1.1968681100667895</v>
      </c>
      <c r="AF37" s="182">
        <f t="shared" si="156"/>
        <v>1.3046325241651282</v>
      </c>
      <c r="AG37" s="182">
        <f t="shared" si="157"/>
        <v>63.53169226965877</v>
      </c>
      <c r="AH37" s="182">
        <f t="shared" si="158"/>
        <v>0.24174830918275383</v>
      </c>
      <c r="AI37" s="182">
        <f t="shared" si="159"/>
        <v>0.45333147063979418</v>
      </c>
      <c r="AJ37" s="182">
        <f t="shared" si="160"/>
        <v>1.5173141318406875</v>
      </c>
      <c r="AK37" s="182">
        <f t="shared" si="161"/>
        <v>123.78390511124242</v>
      </c>
      <c r="AL37" s="182">
        <f t="shared" si="162"/>
        <v>0.40842108326003423</v>
      </c>
      <c r="AM37" s="182">
        <f t="shared" si="163"/>
        <v>0.73503942041961734</v>
      </c>
      <c r="AN37" s="182">
        <f t="shared" si="164"/>
        <v>1.0445394696691062</v>
      </c>
      <c r="AO37" s="180">
        <v>22.289325025577181</v>
      </c>
      <c r="AP37" s="180">
        <v>0.42013194878719373</v>
      </c>
      <c r="AQ37" s="180">
        <v>0.60004288226596858</v>
      </c>
      <c r="AR37" s="180">
        <v>1.561639004601882</v>
      </c>
      <c r="AS37" s="180">
        <v>26.938966161165482</v>
      </c>
      <c r="AT37" s="180">
        <v>0.60567808662278533</v>
      </c>
      <c r="AU37" s="181">
        <v>0.91989149917394686</v>
      </c>
      <c r="AV37" s="180">
        <v>1.1976403471751091</v>
      </c>
      <c r="AW37" s="199">
        <v>0.7</v>
      </c>
      <c r="AX37" s="183" t="s">
        <v>144</v>
      </c>
    </row>
    <row r="38" spans="1:50" x14ac:dyDescent="0.2">
      <c r="A38" s="184" t="s">
        <v>145</v>
      </c>
      <c r="B38" s="180">
        <f t="shared" si="133"/>
        <v>57.625973733700221</v>
      </c>
      <c r="C38" s="180">
        <f t="shared" si="134"/>
        <v>0.31941971823501686</v>
      </c>
      <c r="D38" s="180">
        <f t="shared" si="135"/>
        <v>0.4033234091831398</v>
      </c>
      <c r="E38" s="180">
        <f t="shared" si="136"/>
        <v>1.848427491554443</v>
      </c>
      <c r="F38" s="180">
        <f t="shared" si="137"/>
        <v>58.785653299097824</v>
      </c>
      <c r="G38" s="180">
        <f t="shared" si="138"/>
        <v>0.43264014345721757</v>
      </c>
      <c r="H38" s="180">
        <f t="shared" si="139"/>
        <v>0.55438431738226368</v>
      </c>
      <c r="I38" s="180">
        <f t="shared" si="140"/>
        <v>0.82294863335146917</v>
      </c>
      <c r="J38" s="229">
        <f t="shared" si="101"/>
        <v>0.35</v>
      </c>
      <c r="P38" s="184" t="s">
        <v>145</v>
      </c>
      <c r="Q38" s="182">
        <f t="shared" si="141"/>
        <v>57.625973733700221</v>
      </c>
      <c r="R38" s="182">
        <f t="shared" si="142"/>
        <v>0.31941971823501686</v>
      </c>
      <c r="S38" s="182">
        <f t="shared" si="143"/>
        <v>0.4033234091831398</v>
      </c>
      <c r="T38" s="182">
        <f t="shared" si="144"/>
        <v>1.848427491554443</v>
      </c>
      <c r="U38" s="182">
        <f t="shared" si="145"/>
        <v>58.785653299097824</v>
      </c>
      <c r="V38" s="182">
        <f t="shared" si="146"/>
        <v>0.43264014345721757</v>
      </c>
      <c r="W38" s="182">
        <f t="shared" si="147"/>
        <v>0.55438431738226368</v>
      </c>
      <c r="X38" s="182">
        <f t="shared" si="148"/>
        <v>0.82294863335146917</v>
      </c>
      <c r="Y38" s="182">
        <f t="shared" si="149"/>
        <v>19.423074672365033</v>
      </c>
      <c r="Z38" s="182">
        <f t="shared" si="150"/>
        <v>0.13219629006502054</v>
      </c>
      <c r="AA38" s="182">
        <f t="shared" si="151"/>
        <v>0.26938293304378669</v>
      </c>
      <c r="AB38" s="182">
        <f t="shared" si="152"/>
        <v>1.5233639027982271</v>
      </c>
      <c r="AC38" s="182">
        <f t="shared" si="153"/>
        <v>31.813226773090935</v>
      </c>
      <c r="AD38" s="182">
        <f t="shared" si="154"/>
        <v>0.23164287488272337</v>
      </c>
      <c r="AE38" s="182">
        <f t="shared" si="155"/>
        <v>0.70073883675861059</v>
      </c>
      <c r="AF38" s="182">
        <f t="shared" si="156"/>
        <v>1.2457354030578622</v>
      </c>
      <c r="AG38" s="182">
        <f t="shared" si="157"/>
        <v>12.91728514618635</v>
      </c>
      <c r="AH38" s="182">
        <f t="shared" si="158"/>
        <v>7.2839832893232648E-2</v>
      </c>
      <c r="AI38" s="182">
        <f t="shared" si="159"/>
        <v>0.2310695200926691</v>
      </c>
      <c r="AJ38" s="182">
        <f t="shared" si="160"/>
        <v>1.5722446544823865</v>
      </c>
      <c r="AK38" s="182">
        <f t="shared" si="161"/>
        <v>43.057045843788785</v>
      </c>
      <c r="AL38" s="182">
        <f t="shared" si="162"/>
        <v>0.25974778994077852</v>
      </c>
      <c r="AM38" s="182">
        <f t="shared" si="163"/>
        <v>0.51666860596343422</v>
      </c>
      <c r="AN38" s="182">
        <f t="shared" si="164"/>
        <v>1.124332454072009</v>
      </c>
      <c r="AO38" s="180">
        <v>3.385464011078509</v>
      </c>
      <c r="AP38" s="180">
        <v>0.15471414184969348</v>
      </c>
      <c r="AQ38" s="180">
        <v>0.19938442027099257</v>
      </c>
      <c r="AR38" s="180">
        <v>1.5899218333590972</v>
      </c>
      <c r="AS38" s="180">
        <v>7.6927597765859801</v>
      </c>
      <c r="AT38" s="180">
        <v>0.33929808810353279</v>
      </c>
      <c r="AU38" s="181">
        <v>0.52371010831312126</v>
      </c>
      <c r="AV38" s="180">
        <v>1.3818884460549605</v>
      </c>
      <c r="AW38" s="200">
        <v>0.35</v>
      </c>
      <c r="AX38" s="184" t="s">
        <v>145</v>
      </c>
    </row>
    <row r="39" spans="1:50" x14ac:dyDescent="0.2">
      <c r="A39" s="183" t="s">
        <v>146</v>
      </c>
      <c r="B39" s="180">
        <f t="shared" si="133"/>
        <v>63.590549836228753</v>
      </c>
      <c r="C39" s="180">
        <f t="shared" si="134"/>
        <v>0.29810757489630391</v>
      </c>
      <c r="D39" s="180">
        <f t="shared" si="135"/>
        <v>0.3763969443179549</v>
      </c>
      <c r="E39" s="180">
        <f t="shared" si="136"/>
        <v>2.0129772218563655</v>
      </c>
      <c r="F39" s="180">
        <f t="shared" si="137"/>
        <v>81.935479447297851</v>
      </c>
      <c r="G39" s="180">
        <f t="shared" si="138"/>
        <v>0.49418156813865033</v>
      </c>
      <c r="H39" s="180">
        <f t="shared" si="139"/>
        <v>0.66395944778021854</v>
      </c>
      <c r="I39" s="180">
        <f t="shared" si="140"/>
        <v>0.93875323170638558</v>
      </c>
      <c r="J39" s="229">
        <f t="shared" si="101"/>
        <v>0.2</v>
      </c>
      <c r="P39" s="183" t="s">
        <v>146</v>
      </c>
      <c r="Q39" s="182">
        <f t="shared" si="141"/>
        <v>63.590549836228753</v>
      </c>
      <c r="R39" s="182">
        <f t="shared" si="142"/>
        <v>0.29810757489630391</v>
      </c>
      <c r="S39" s="182">
        <f t="shared" si="143"/>
        <v>0.3763969443179549</v>
      </c>
      <c r="T39" s="182">
        <f t="shared" si="144"/>
        <v>2.0129772218563655</v>
      </c>
      <c r="U39" s="182">
        <f t="shared" si="145"/>
        <v>81.935479447297851</v>
      </c>
      <c r="V39" s="182">
        <f t="shared" si="146"/>
        <v>0.49418156813865033</v>
      </c>
      <c r="W39" s="182">
        <f t="shared" si="147"/>
        <v>0.66395944778021854</v>
      </c>
      <c r="X39" s="182">
        <f t="shared" si="148"/>
        <v>0.93875323170638558</v>
      </c>
      <c r="Y39" s="182">
        <f t="shared" si="149"/>
        <v>32.876331198477672</v>
      </c>
      <c r="Z39" s="182">
        <f t="shared" si="150"/>
        <v>0.18924378279289161</v>
      </c>
      <c r="AA39" s="182">
        <f t="shared" si="151"/>
        <v>0.19348068075416772</v>
      </c>
      <c r="AB39" s="182">
        <f t="shared" si="152"/>
        <v>1.7264185088320456</v>
      </c>
      <c r="AC39" s="182">
        <f t="shared" si="153"/>
        <v>52.26571437182357</v>
      </c>
      <c r="AD39" s="182">
        <f t="shared" si="154"/>
        <v>0.31187976234814713</v>
      </c>
      <c r="AE39" s="182">
        <f t="shared" si="155"/>
        <v>0.73832376468491911</v>
      </c>
      <c r="AF39" s="182">
        <f t="shared" si="156"/>
        <v>1.4918526628081028</v>
      </c>
      <c r="AG39" s="182">
        <f t="shared" si="157"/>
        <v>29.933173306975689</v>
      </c>
      <c r="AH39" s="182">
        <f t="shared" si="158"/>
        <v>7.5473487313336474E-2</v>
      </c>
      <c r="AI39" s="182">
        <f t="shared" si="159"/>
        <v>0.20684249511017211</v>
      </c>
      <c r="AJ39" s="182">
        <f t="shared" si="160"/>
        <v>1.3670420951636255</v>
      </c>
      <c r="AK39" s="182">
        <f t="shared" si="161"/>
        <v>90.678227504898103</v>
      </c>
      <c r="AL39" s="182">
        <f t="shared" si="162"/>
        <v>0.23701547897185857</v>
      </c>
      <c r="AM39" s="182">
        <f t="shared" si="163"/>
        <v>0.47973641476450402</v>
      </c>
      <c r="AN39" s="182">
        <f t="shared" si="164"/>
        <v>1.0376966360047013</v>
      </c>
      <c r="AO39" s="180">
        <v>7.8451222390225404</v>
      </c>
      <c r="AP39" s="180">
        <v>0.23862406151194082</v>
      </c>
      <c r="AQ39" s="180">
        <v>0.32261090977635837</v>
      </c>
      <c r="AR39" s="180">
        <v>1.5818619253113866</v>
      </c>
      <c r="AS39" s="180">
        <v>12.563323045149446</v>
      </c>
      <c r="AT39" s="180">
        <v>0.44170329975895584</v>
      </c>
      <c r="AU39" s="181">
        <v>0.65935897373128682</v>
      </c>
      <c r="AV39" s="180">
        <v>1.3075717203319073</v>
      </c>
      <c r="AW39" s="200">
        <v>0.2</v>
      </c>
      <c r="AX39" s="183" t="s">
        <v>146</v>
      </c>
    </row>
    <row r="40" spans="1:50" x14ac:dyDescent="0.2">
      <c r="A40" s="184" t="s">
        <v>147</v>
      </c>
      <c r="B40" s="180">
        <f t="shared" si="133"/>
        <v>0.32547485938692544</v>
      </c>
      <c r="C40" s="180">
        <f t="shared" si="134"/>
        <v>9.2794193373193737E-2</v>
      </c>
      <c r="D40" s="180">
        <f t="shared" si="135"/>
        <v>0.15247977969949797</v>
      </c>
      <c r="E40" s="180">
        <f t="shared" si="136"/>
        <v>1.3008044725072316</v>
      </c>
      <c r="F40" s="180">
        <f t="shared" si="137"/>
        <v>5.3454031883565376</v>
      </c>
      <c r="G40" s="180">
        <f t="shared" si="138"/>
        <v>0.17331241089744834</v>
      </c>
      <c r="H40" s="180">
        <f t="shared" si="139"/>
        <v>0.31566170419947326</v>
      </c>
      <c r="I40" s="180">
        <f t="shared" si="140"/>
        <v>1.1806631061163815</v>
      </c>
      <c r="J40" s="229">
        <f t="shared" si="101"/>
        <v>0.01</v>
      </c>
      <c r="P40" s="184" t="s">
        <v>147</v>
      </c>
      <c r="Q40" s="182">
        <f t="shared" si="141"/>
        <v>0.32547485938692544</v>
      </c>
      <c r="R40" s="182">
        <f t="shared" si="142"/>
        <v>9.2794193373193737E-2</v>
      </c>
      <c r="S40" s="182">
        <f t="shared" si="143"/>
        <v>0.15247977969949797</v>
      </c>
      <c r="T40" s="182">
        <f t="shared" si="144"/>
        <v>1.3008044725072316</v>
      </c>
      <c r="U40" s="182">
        <f t="shared" si="145"/>
        <v>5.3454031883565376</v>
      </c>
      <c r="V40" s="182">
        <f t="shared" si="146"/>
        <v>0.17331241089744834</v>
      </c>
      <c r="W40" s="182">
        <f t="shared" si="147"/>
        <v>0.31566170419947326</v>
      </c>
      <c r="X40" s="182">
        <f t="shared" si="148"/>
        <v>1.1806631061163815</v>
      </c>
      <c r="Y40" s="182">
        <f t="shared" si="149"/>
        <v>2.5547159145788592</v>
      </c>
      <c r="Z40" s="182">
        <f t="shared" si="150"/>
        <v>7.539142795665886E-2</v>
      </c>
      <c r="AA40" s="182">
        <f t="shared" si="151"/>
        <v>0.52620076648750835</v>
      </c>
      <c r="AB40" s="182">
        <f t="shared" si="152"/>
        <v>1.5100542205533842</v>
      </c>
      <c r="AC40" s="182">
        <f t="shared" si="153"/>
        <v>11.117416057419538</v>
      </c>
      <c r="AD40" s="182">
        <f t="shared" si="154"/>
        <v>0.16762625057823355</v>
      </c>
      <c r="AE40" s="182">
        <f t="shared" si="155"/>
        <v>0.65816742099914372</v>
      </c>
      <c r="AF40" s="182">
        <f t="shared" si="156"/>
        <v>1.2017196347609294</v>
      </c>
      <c r="AG40" s="182">
        <f t="shared" si="157"/>
        <v>0.39175200785285097</v>
      </c>
      <c r="AH40" s="182">
        <f t="shared" si="158"/>
        <v>0.16674595757967586</v>
      </c>
      <c r="AI40" s="182">
        <f t="shared" si="159"/>
        <v>0.59996075625571688</v>
      </c>
      <c r="AJ40" s="182">
        <f t="shared" si="160"/>
        <v>1.9019082294354721</v>
      </c>
      <c r="AK40" s="182">
        <f t="shared" si="161"/>
        <v>1.3080445584919411</v>
      </c>
      <c r="AL40" s="182">
        <f t="shared" si="162"/>
        <v>0.28446277198693232</v>
      </c>
      <c r="AM40" s="182">
        <f t="shared" si="163"/>
        <v>0.54374756461777574</v>
      </c>
      <c r="AN40" s="182">
        <f t="shared" si="164"/>
        <v>1.3589278524137995</v>
      </c>
      <c r="AO40" s="180">
        <v>0.1026734572198503</v>
      </c>
      <c r="AP40" s="180">
        <v>9.2794193373193737E-2</v>
      </c>
      <c r="AQ40" s="180">
        <v>0.15247977969949797</v>
      </c>
      <c r="AR40" s="180">
        <v>1.3008044725072316</v>
      </c>
      <c r="AS40" s="180">
        <v>1.6862470625730401</v>
      </c>
      <c r="AT40" s="180">
        <v>0.17331241089744831</v>
      </c>
      <c r="AU40" s="181">
        <v>0.31566170419947331</v>
      </c>
      <c r="AV40" s="180">
        <v>1.1806631061163815</v>
      </c>
      <c r="AW40" s="200">
        <v>0.01</v>
      </c>
      <c r="AX40" s="184" t="s">
        <v>147</v>
      </c>
    </row>
    <row r="41" spans="1:50" x14ac:dyDescent="0.2">
      <c r="A41" s="183" t="s">
        <v>148</v>
      </c>
      <c r="B41" s="180">
        <f t="shared" si="133"/>
        <v>58.241453635457461</v>
      </c>
      <c r="C41" s="180">
        <f t="shared" si="134"/>
        <v>0.34889609248218745</v>
      </c>
      <c r="D41" s="180">
        <f t="shared" si="135"/>
        <v>0.44132577636886566</v>
      </c>
      <c r="E41" s="180">
        <f t="shared" si="136"/>
        <v>1.9853495255400613</v>
      </c>
      <c r="F41" s="180">
        <f t="shared" si="137"/>
        <v>70.485595930683061</v>
      </c>
      <c r="G41" s="180">
        <f t="shared" si="138"/>
        <v>0.54050623228515404</v>
      </c>
      <c r="H41" s="180">
        <f t="shared" si="139"/>
        <v>0.71279566668585337</v>
      </c>
      <c r="I41" s="180">
        <f t="shared" si="140"/>
        <v>0.89257538918458801</v>
      </c>
      <c r="J41" s="229">
        <f t="shared" si="101"/>
        <v>0.1</v>
      </c>
      <c r="P41" s="183" t="s">
        <v>148</v>
      </c>
      <c r="Q41" s="182">
        <f t="shared" si="141"/>
        <v>58.241453635457461</v>
      </c>
      <c r="R41" s="182">
        <f t="shared" si="142"/>
        <v>0.34889609248218745</v>
      </c>
      <c r="S41" s="182">
        <f t="shared" si="143"/>
        <v>0.44132577636886566</v>
      </c>
      <c r="T41" s="182">
        <f t="shared" si="144"/>
        <v>1.9853495255400613</v>
      </c>
      <c r="U41" s="182">
        <f t="shared" si="145"/>
        <v>70.485595930683061</v>
      </c>
      <c r="V41" s="182">
        <f t="shared" si="146"/>
        <v>0.54050623228515404</v>
      </c>
      <c r="W41" s="182">
        <f t="shared" si="147"/>
        <v>0.71279566668585337</v>
      </c>
      <c r="X41" s="182">
        <f t="shared" si="148"/>
        <v>0.89257538918458801</v>
      </c>
      <c r="Y41" s="182">
        <f t="shared" si="149"/>
        <v>20.167871066802451</v>
      </c>
      <c r="Z41" s="182">
        <f t="shared" si="150"/>
        <v>0.14834803500046556</v>
      </c>
      <c r="AA41" s="182">
        <f t="shared" si="151"/>
        <v>0.15729180964807193</v>
      </c>
      <c r="AB41" s="182">
        <f t="shared" si="152"/>
        <v>1.6458623139042596</v>
      </c>
      <c r="AC41" s="182">
        <f t="shared" si="153"/>
        <v>37.904251758241458</v>
      </c>
      <c r="AD41" s="182">
        <f t="shared" si="154"/>
        <v>0.28757029175649146</v>
      </c>
      <c r="AE41" s="182">
        <f t="shared" si="155"/>
        <v>0.74793438147829361</v>
      </c>
      <c r="AF41" s="182">
        <f t="shared" si="156"/>
        <v>1.4211870180099404</v>
      </c>
      <c r="AG41" s="182">
        <f t="shared" si="157"/>
        <v>15.819563124826031</v>
      </c>
      <c r="AH41" s="182">
        <f t="shared" si="158"/>
        <v>0.17239897066439169</v>
      </c>
      <c r="AI41" s="182">
        <f t="shared" si="159"/>
        <v>0.29520247179929143</v>
      </c>
      <c r="AJ41" s="182">
        <f t="shared" si="160"/>
        <v>1.4852842026984938</v>
      </c>
      <c r="AK41" s="182">
        <f t="shared" si="161"/>
        <v>29.609469688424799</v>
      </c>
      <c r="AL41" s="182">
        <f t="shared" si="162"/>
        <v>0.33281673830116143</v>
      </c>
      <c r="AM41" s="182">
        <f t="shared" si="163"/>
        <v>0.57924565379871185</v>
      </c>
      <c r="AN41" s="182">
        <f t="shared" si="164"/>
        <v>1.0629801668796504</v>
      </c>
      <c r="AO41" s="180">
        <v>4.1461159232747153</v>
      </c>
      <c r="AP41" s="180">
        <v>0.27599462027648108</v>
      </c>
      <c r="AQ41" s="180">
        <v>0.37614209284397354</v>
      </c>
      <c r="AR41" s="180">
        <v>1.5633144449194272</v>
      </c>
      <c r="AS41" s="180">
        <v>8.2110501106580092</v>
      </c>
      <c r="AT41" s="180">
        <v>0.45390947518249353</v>
      </c>
      <c r="AU41" s="181">
        <v>0.68552329227328301</v>
      </c>
      <c r="AV41" s="180">
        <v>1.2855369186401366</v>
      </c>
      <c r="AW41" s="200">
        <v>0.1</v>
      </c>
      <c r="AX41" s="183" t="s">
        <v>148</v>
      </c>
    </row>
    <row r="42" spans="1:50" x14ac:dyDescent="0.2">
      <c r="A42" s="184" t="s">
        <v>149</v>
      </c>
      <c r="B42" s="180">
        <f t="shared" si="133"/>
        <v>63.356286585998589</v>
      </c>
      <c r="C42" s="180">
        <f t="shared" si="134"/>
        <v>0.31996396475338174</v>
      </c>
      <c r="D42" s="180">
        <f t="shared" si="135"/>
        <v>0.40392805441687557</v>
      </c>
      <c r="E42" s="180">
        <f t="shared" si="136"/>
        <v>1.9715369945858399</v>
      </c>
      <c r="F42" s="180">
        <f t="shared" si="137"/>
        <v>77.118295299782588</v>
      </c>
      <c r="G42" s="180">
        <f t="shared" si="138"/>
        <v>0.53439756172890884</v>
      </c>
      <c r="H42" s="180">
        <f t="shared" si="139"/>
        <v>0.69600045736367178</v>
      </c>
      <c r="I42" s="180">
        <f t="shared" si="140"/>
        <v>0.90267032631936728</v>
      </c>
      <c r="J42" s="229">
        <f t="shared" si="101"/>
        <v>0.12133373467426338</v>
      </c>
      <c r="P42" s="184" t="s">
        <v>149</v>
      </c>
      <c r="Q42" s="182">
        <f t="shared" si="141"/>
        <v>63.356286585998589</v>
      </c>
      <c r="R42" s="182">
        <f t="shared" si="142"/>
        <v>0.31996396475338174</v>
      </c>
      <c r="S42" s="182">
        <f t="shared" si="143"/>
        <v>0.40392805441687557</v>
      </c>
      <c r="T42" s="182">
        <f t="shared" si="144"/>
        <v>1.9715369945858399</v>
      </c>
      <c r="U42" s="182">
        <f t="shared" si="145"/>
        <v>77.118295299782588</v>
      </c>
      <c r="V42" s="182">
        <f t="shared" si="146"/>
        <v>0.53439756172890884</v>
      </c>
      <c r="W42" s="182">
        <f t="shared" si="147"/>
        <v>0.69600045736367178</v>
      </c>
      <c r="X42" s="182">
        <f t="shared" si="148"/>
        <v>0.90267032631936728</v>
      </c>
      <c r="Y42" s="182">
        <f t="shared" si="149"/>
        <v>25.436874667125732</v>
      </c>
      <c r="Z42" s="182">
        <f t="shared" si="150"/>
        <v>0.15773677140120965</v>
      </c>
      <c r="AA42" s="182">
        <f t="shared" si="151"/>
        <v>0.21670979603805474</v>
      </c>
      <c r="AB42" s="182">
        <f t="shared" si="152"/>
        <v>1.5330933005276282</v>
      </c>
      <c r="AC42" s="182">
        <f t="shared" si="153"/>
        <v>41.780709015727268</v>
      </c>
      <c r="AD42" s="182">
        <f t="shared" si="154"/>
        <v>0.28644326326557845</v>
      </c>
      <c r="AE42" s="182">
        <f t="shared" si="155"/>
        <v>0.74067008213003016</v>
      </c>
      <c r="AF42" s="182">
        <f t="shared" si="156"/>
        <v>1.3091793657924318</v>
      </c>
      <c r="AG42" s="182">
        <f t="shared" si="157"/>
        <v>21.17096053518031</v>
      </c>
      <c r="AH42" s="182">
        <f t="shared" si="158"/>
        <v>0.14843935001668282</v>
      </c>
      <c r="AI42" s="182">
        <f t="shared" si="159"/>
        <v>0.27793442373801774</v>
      </c>
      <c r="AJ42" s="182">
        <f t="shared" si="160"/>
        <v>1.3499214448372341</v>
      </c>
      <c r="AK42" s="182">
        <f t="shared" si="161"/>
        <v>37.880703003994988</v>
      </c>
      <c r="AL42" s="182">
        <f t="shared" si="162"/>
        <v>0.29364331717977138</v>
      </c>
      <c r="AM42" s="182">
        <f t="shared" si="163"/>
        <v>0.51652138990577978</v>
      </c>
      <c r="AN42" s="182">
        <f t="shared" si="164"/>
        <v>0.99380528969850124</v>
      </c>
      <c r="AO42" s="180">
        <v>5.5486523801773435</v>
      </c>
      <c r="AP42" s="180">
        <v>0.3019639919523654</v>
      </c>
      <c r="AQ42" s="180">
        <v>0.39218437749904544</v>
      </c>
      <c r="AR42" s="180">
        <v>1.516542899207427</v>
      </c>
      <c r="AS42" s="180">
        <v>9.3759759068489075</v>
      </c>
      <c r="AT42" s="180">
        <v>0.46557291418027419</v>
      </c>
      <c r="AU42" s="181">
        <v>0.67966968336930644</v>
      </c>
      <c r="AV42" s="180">
        <v>1.2334494529626308</v>
      </c>
      <c r="AW42" s="200">
        <v>0.12133373467426338</v>
      </c>
      <c r="AX42" s="184" t="s">
        <v>149</v>
      </c>
    </row>
    <row r="43" spans="1:50" x14ac:dyDescent="0.2">
      <c r="A43" s="183" t="s">
        <v>150</v>
      </c>
      <c r="B43" s="180">
        <f t="shared" si="133"/>
        <v>65.118112822700908</v>
      </c>
      <c r="C43" s="180">
        <f t="shared" si="134"/>
        <v>0.4561797377122595</v>
      </c>
      <c r="D43" s="180">
        <f t="shared" si="135"/>
        <v>0.63540620278318349</v>
      </c>
      <c r="E43" s="180">
        <f t="shared" si="136"/>
        <v>2.8362491526572531</v>
      </c>
      <c r="F43" s="180">
        <f t="shared" si="137"/>
        <v>119.55846014847829</v>
      </c>
      <c r="G43" s="180">
        <f t="shared" si="138"/>
        <v>0.82890813606095948</v>
      </c>
      <c r="H43" s="180">
        <f t="shared" si="139"/>
        <v>1.1830447580269217</v>
      </c>
      <c r="I43" s="180">
        <f t="shared" si="140"/>
        <v>1.2567951761355378</v>
      </c>
      <c r="J43" s="229">
        <f t="shared" si="101"/>
        <v>0.86246043314101184</v>
      </c>
      <c r="P43" s="183" t="s">
        <v>150</v>
      </c>
      <c r="Q43" s="182">
        <f t="shared" si="141"/>
        <v>65.118112822700908</v>
      </c>
      <c r="R43" s="182">
        <f t="shared" si="142"/>
        <v>0.4561797377122595</v>
      </c>
      <c r="S43" s="182">
        <f t="shared" si="143"/>
        <v>0.63540620278318349</v>
      </c>
      <c r="T43" s="182">
        <f t="shared" si="144"/>
        <v>2.8362491526572531</v>
      </c>
      <c r="U43" s="182">
        <f t="shared" si="145"/>
        <v>119.55846014847829</v>
      </c>
      <c r="V43" s="182">
        <f t="shared" si="146"/>
        <v>0.82890813606095948</v>
      </c>
      <c r="W43" s="182">
        <f t="shared" si="147"/>
        <v>1.1830447580269217</v>
      </c>
      <c r="X43" s="182">
        <f t="shared" si="148"/>
        <v>1.2567951761355378</v>
      </c>
      <c r="Y43" s="182">
        <f t="shared" si="149"/>
        <v>41.030958218565729</v>
      </c>
      <c r="Z43" s="182">
        <f t="shared" si="150"/>
        <v>0.26314855110995927</v>
      </c>
      <c r="AA43" s="182">
        <f t="shared" si="151"/>
        <v>0.51727529829147512</v>
      </c>
      <c r="AB43" s="182">
        <f t="shared" si="152"/>
        <v>1.8828682772201462</v>
      </c>
      <c r="AC43" s="182">
        <f t="shared" si="153"/>
        <v>76.874495994645883</v>
      </c>
      <c r="AD43" s="182">
        <f t="shared" si="154"/>
        <v>0.42640984187395276</v>
      </c>
      <c r="AE43" s="182">
        <f t="shared" si="155"/>
        <v>1.3540858264909503</v>
      </c>
      <c r="AF43" s="182">
        <f t="shared" si="156"/>
        <v>1.4695547156879536</v>
      </c>
      <c r="AG43" s="182">
        <f t="shared" si="157"/>
        <v>62.608881235372372</v>
      </c>
      <c r="AH43" s="182">
        <f t="shared" si="158"/>
        <v>0.38240679137745071</v>
      </c>
      <c r="AI43" s="182">
        <f t="shared" si="159"/>
        <v>0.5357124835820567</v>
      </c>
      <c r="AJ43" s="182">
        <f t="shared" si="160"/>
        <v>2.0592070621695355</v>
      </c>
      <c r="AK43" s="182">
        <f t="shared" si="161"/>
        <v>120.15406972679335</v>
      </c>
      <c r="AL43" s="182">
        <f t="shared" si="162"/>
        <v>0.63472229476027653</v>
      </c>
      <c r="AM43" s="182">
        <f t="shared" si="163"/>
        <v>1.0533471114912858</v>
      </c>
      <c r="AN43" s="182">
        <f t="shared" si="164"/>
        <v>1.2820950533436741</v>
      </c>
      <c r="AO43" s="180">
        <v>16.409029590774342</v>
      </c>
      <c r="AP43" s="180">
        <v>0.38566097032434615</v>
      </c>
      <c r="AQ43" s="180">
        <v>0.65358790964295366</v>
      </c>
      <c r="AR43" s="180">
        <v>1.6243600870649784</v>
      </c>
      <c r="AS43" s="180">
        <v>21.555698636823738</v>
      </c>
      <c r="AT43" s="180">
        <v>0.58873261311927294</v>
      </c>
      <c r="AU43" s="180">
        <v>1.0209490915593238</v>
      </c>
      <c r="AV43" s="180">
        <v>1.2687495006964755</v>
      </c>
      <c r="AW43" s="180">
        <v>0.86246043314101184</v>
      </c>
      <c r="AX43" s="183" t="s">
        <v>150</v>
      </c>
    </row>
    <row r="44" spans="1:50" x14ac:dyDescent="0.2">
      <c r="A44" s="184" t="s">
        <v>151</v>
      </c>
      <c r="B44" s="180">
        <f t="shared" si="133"/>
        <v>65.833106080232923</v>
      </c>
      <c r="C44" s="180">
        <f t="shared" si="134"/>
        <v>0.45742903676569008</v>
      </c>
      <c r="D44" s="180">
        <f t="shared" si="135"/>
        <v>0.63596595187622407</v>
      </c>
      <c r="E44" s="180">
        <f t="shared" si="136"/>
        <v>2.8023874108056299</v>
      </c>
      <c r="F44" s="180">
        <f t="shared" si="137"/>
        <v>99.0096646697572</v>
      </c>
      <c r="G44" s="180">
        <f t="shared" si="138"/>
        <v>0.81868146881744064</v>
      </c>
      <c r="H44" s="180">
        <f t="shared" si="139"/>
        <v>1.1736274306810952</v>
      </c>
      <c r="I44" s="180">
        <f t="shared" si="140"/>
        <v>1.2451749003820776</v>
      </c>
      <c r="J44" s="229">
        <f t="shared" si="101"/>
        <v>0.80431550027508991</v>
      </c>
      <c r="P44" s="184" t="s">
        <v>151</v>
      </c>
      <c r="Q44" s="182">
        <f>Q59*AO44/AO59</f>
        <v>65.833106080232923</v>
      </c>
      <c r="R44" s="182">
        <f t="shared" si="142"/>
        <v>0.45742903676569008</v>
      </c>
      <c r="S44" s="182">
        <f t="shared" si="143"/>
        <v>0.63596595187622407</v>
      </c>
      <c r="T44" s="182">
        <f t="shared" si="144"/>
        <v>2.8023874108056299</v>
      </c>
      <c r="U44" s="182">
        <f t="shared" si="145"/>
        <v>99.0096646697572</v>
      </c>
      <c r="V44" s="182">
        <f t="shared" si="146"/>
        <v>0.81868146881744064</v>
      </c>
      <c r="W44" s="182">
        <f t="shared" si="147"/>
        <v>1.1736274306810952</v>
      </c>
      <c r="X44" s="182">
        <f t="shared" si="148"/>
        <v>1.2451749003820776</v>
      </c>
      <c r="Y44" s="182">
        <f>Y59*AO44/AO59</f>
        <v>38.6962495509798</v>
      </c>
      <c r="Z44" s="182">
        <f t="shared" si="150"/>
        <v>0.24615201590601077</v>
      </c>
      <c r="AA44" s="182">
        <f t="shared" si="151"/>
        <v>0.50734348018792508</v>
      </c>
      <c r="AB44" s="182">
        <f t="shared" si="152"/>
        <v>1.8174910632330601</v>
      </c>
      <c r="AC44" s="182">
        <f t="shared" si="153"/>
        <v>61.175804496267197</v>
      </c>
      <c r="AD44" s="182">
        <f t="shared" si="154"/>
        <v>0.40470252006468804</v>
      </c>
      <c r="AE44" s="182">
        <f t="shared" si="155"/>
        <v>1.2885642226889329</v>
      </c>
      <c r="AF44" s="182">
        <f t="shared" si="156"/>
        <v>1.4457464381875786</v>
      </c>
      <c r="AG44" s="182">
        <f>AG59*AO44/AO59</f>
        <v>21.111798342615181</v>
      </c>
      <c r="AH44" s="182">
        <f t="shared" si="158"/>
        <v>0.3834540549952718</v>
      </c>
      <c r="AI44" s="182">
        <f t="shared" si="159"/>
        <v>0.53618440937614253</v>
      </c>
      <c r="AJ44" s="182">
        <f t="shared" si="160"/>
        <v>2.0346223609655194</v>
      </c>
      <c r="AK44" s="182">
        <f t="shared" si="161"/>
        <v>33.188108964728649</v>
      </c>
      <c r="AL44" s="182">
        <f t="shared" si="162"/>
        <v>0.62689139840618557</v>
      </c>
      <c r="AM44" s="182">
        <f t="shared" si="163"/>
        <v>1.0449622093222095</v>
      </c>
      <c r="AN44" s="182">
        <f t="shared" si="164"/>
        <v>1.2702408559812917</v>
      </c>
      <c r="AO44" s="182">
        <v>5.5331466859483314</v>
      </c>
      <c r="AP44" s="182">
        <v>0.3776004472204787</v>
      </c>
      <c r="AQ44" s="180">
        <v>0.64851945327568017</v>
      </c>
      <c r="AR44" s="182">
        <v>1.6185067171851795</v>
      </c>
      <c r="AS44" s="182">
        <v>10.652015068592169</v>
      </c>
      <c r="AT44" s="182">
        <v>0.58932168552508724</v>
      </c>
      <c r="AU44" s="181">
        <v>1.0108047615354643</v>
      </c>
      <c r="AV44" s="182">
        <v>1.263189971446991</v>
      </c>
      <c r="AW44" s="201">
        <v>0.80431550027508991</v>
      </c>
      <c r="AX44" s="184" t="s">
        <v>151</v>
      </c>
    </row>
    <row r="46" spans="1:50" x14ac:dyDescent="0.2">
      <c r="B46" t="s">
        <v>132</v>
      </c>
      <c r="Q46" s="192" t="s">
        <v>132</v>
      </c>
      <c r="Y46" s="192" t="s">
        <v>132</v>
      </c>
      <c r="AG46" s="192" t="s">
        <v>132</v>
      </c>
      <c r="AO46" s="192" t="s">
        <v>132</v>
      </c>
    </row>
    <row r="47" spans="1:50" x14ac:dyDescent="0.2">
      <c r="B47" s="185" t="s">
        <v>133</v>
      </c>
      <c r="C47" s="185" t="s">
        <v>134</v>
      </c>
      <c r="D47" s="185" t="s">
        <v>135</v>
      </c>
      <c r="E47" s="185" t="s">
        <v>139</v>
      </c>
      <c r="F47" s="185" t="s">
        <v>136</v>
      </c>
      <c r="G47" s="185" t="s">
        <v>137</v>
      </c>
      <c r="H47" s="185" t="s">
        <v>138</v>
      </c>
      <c r="I47" s="186" t="s">
        <v>160</v>
      </c>
      <c r="J47" s="185" t="s">
        <v>183</v>
      </c>
      <c r="Q47" s="185" t="s">
        <v>133</v>
      </c>
      <c r="R47" s="185" t="s">
        <v>134</v>
      </c>
      <c r="S47" s="185" t="s">
        <v>135</v>
      </c>
      <c r="T47" s="185" t="s">
        <v>139</v>
      </c>
      <c r="U47" s="185" t="s">
        <v>136</v>
      </c>
      <c r="V47" s="185" t="s">
        <v>137</v>
      </c>
      <c r="W47" s="185" t="s">
        <v>138</v>
      </c>
      <c r="X47" s="186" t="s">
        <v>160</v>
      </c>
      <c r="Y47" s="185" t="s">
        <v>133</v>
      </c>
      <c r="Z47" s="185" t="s">
        <v>134</v>
      </c>
      <c r="AA47" s="185" t="s">
        <v>135</v>
      </c>
      <c r="AB47" s="185" t="s">
        <v>139</v>
      </c>
      <c r="AC47" s="185" t="s">
        <v>136</v>
      </c>
      <c r="AD47" s="185" t="s">
        <v>137</v>
      </c>
      <c r="AE47" s="185" t="s">
        <v>138</v>
      </c>
      <c r="AF47" s="186" t="s">
        <v>160</v>
      </c>
      <c r="AG47" s="185" t="s">
        <v>133</v>
      </c>
      <c r="AH47" s="185" t="s">
        <v>134</v>
      </c>
      <c r="AI47" s="185" t="s">
        <v>135</v>
      </c>
      <c r="AJ47" s="185" t="s">
        <v>139</v>
      </c>
      <c r="AK47" s="185" t="s">
        <v>136</v>
      </c>
      <c r="AL47" s="185" t="s">
        <v>137</v>
      </c>
      <c r="AM47" s="185" t="s">
        <v>138</v>
      </c>
      <c r="AN47" s="186" t="s">
        <v>160</v>
      </c>
      <c r="AO47" s="185" t="s">
        <v>133</v>
      </c>
      <c r="AP47" s="185" t="s">
        <v>134</v>
      </c>
      <c r="AQ47" s="185" t="s">
        <v>135</v>
      </c>
      <c r="AR47" s="185" t="s">
        <v>139</v>
      </c>
      <c r="AS47" s="185" t="s">
        <v>136</v>
      </c>
      <c r="AT47" s="185" t="s">
        <v>137</v>
      </c>
      <c r="AU47" s="185" t="s">
        <v>138</v>
      </c>
      <c r="AV47" s="186" t="s">
        <v>160</v>
      </c>
    </row>
    <row r="48" spans="1:50" x14ac:dyDescent="0.2">
      <c r="A48" s="183" t="s">
        <v>140</v>
      </c>
      <c r="B48" s="179">
        <f>(B49+B50+B51+B52)/4</f>
        <v>72.983670144673511</v>
      </c>
      <c r="C48" s="179">
        <f t="shared" ref="C48:I48" si="165">(C49+C50+C51+C52)/4</f>
        <v>0.41624969883562096</v>
      </c>
      <c r="D48" s="179">
        <f t="shared" si="165"/>
        <v>0.51161821529969165</v>
      </c>
      <c r="E48" s="179">
        <f t="shared" si="165"/>
        <v>3.6915689615673526</v>
      </c>
      <c r="F48" s="179">
        <f t="shared" si="165"/>
        <v>140.2052802818821</v>
      </c>
      <c r="G48" s="179">
        <f t="shared" si="165"/>
        <v>0.97476394837986668</v>
      </c>
      <c r="H48" s="179">
        <f t="shared" si="165"/>
        <v>1.3721037162991407</v>
      </c>
      <c r="I48" s="179">
        <f t="shared" si="165"/>
        <v>1.525504387985618</v>
      </c>
      <c r="J48" s="229">
        <f t="shared" ref="J48:J59" si="166">AW48</f>
        <v>0.86637744944861594</v>
      </c>
      <c r="P48" s="183" t="s">
        <v>140</v>
      </c>
      <c r="Q48" s="179">
        <f>AVERAGE(Q49:Q52)</f>
        <v>72.983670144673511</v>
      </c>
      <c r="R48" s="179">
        <f t="shared" ref="R48" si="167">AVERAGE(R49:R52)</f>
        <v>0.41624969883562096</v>
      </c>
      <c r="S48" s="179">
        <f t="shared" ref="S48" si="168">AVERAGE(S49:S52)</f>
        <v>0.51161821529969165</v>
      </c>
      <c r="T48" s="179">
        <f t="shared" ref="T48" si="169">AVERAGE(T49:T52)</f>
        <v>3.6915689615673526</v>
      </c>
      <c r="U48" s="179">
        <f t="shared" ref="U48" si="170">AVERAGE(U49:U52)</f>
        <v>140.2052802818821</v>
      </c>
      <c r="V48" s="179">
        <f t="shared" ref="V48" si="171">AVERAGE(V49:V52)</f>
        <v>0.97476394837986668</v>
      </c>
      <c r="W48" s="179">
        <f t="shared" ref="W48" si="172">AVERAGE(W49:W52)</f>
        <v>1.3721037162991407</v>
      </c>
      <c r="X48" s="179">
        <f t="shared" ref="X48" si="173">AVERAGE(X49:X52)</f>
        <v>1.525504387985618</v>
      </c>
      <c r="Y48" s="179">
        <f t="shared" ref="Y48" si="174">AVERAGE(Y49:Y52)</f>
        <v>24.304328040513617</v>
      </c>
      <c r="Z48" s="179">
        <f t="shared" ref="Z48" si="175">AVERAGE(Z49:Z52)</f>
        <v>0.15214442348538293</v>
      </c>
      <c r="AA48" s="179">
        <f t="shared" ref="AA48" si="176">AVERAGE(AA49:AA52)</f>
        <v>0.38617000910186561</v>
      </c>
      <c r="AB48" s="179">
        <f t="shared" ref="AB48" si="177">AVERAGE(AB49:AB52)</f>
        <v>2.3115171208007608</v>
      </c>
      <c r="AC48" s="179">
        <f t="shared" ref="AC48" si="178">AVERAGE(AC49:AC52)</f>
        <v>67.8875762002762</v>
      </c>
      <c r="AD48" s="179">
        <f t="shared" ref="AD48" si="179">AVERAGE(AD49:AD52)</f>
        <v>0.41056809253355553</v>
      </c>
      <c r="AE48" s="179">
        <f t="shared" ref="AE48" si="180">AVERAGE(AE49:AE52)</f>
        <v>1.4578248658449706</v>
      </c>
      <c r="AF48" s="179">
        <f t="shared" ref="AF48" si="181">AVERAGE(AF49:AF52)</f>
        <v>1.6816764334331542</v>
      </c>
      <c r="AG48" s="179">
        <f t="shared" ref="AG48" si="182">AVERAGE(AG49:AG52)</f>
        <v>56.22041959521637</v>
      </c>
      <c r="AH48" s="179">
        <f t="shared" ref="AH48" si="183">AVERAGE(AH49:AH52)</f>
        <v>0.23903270046337938</v>
      </c>
      <c r="AI48" s="179">
        <f t="shared" ref="AI48" si="184">AVERAGE(AI49:AI52)</f>
        <v>0.43638111172161587</v>
      </c>
      <c r="AJ48" s="179">
        <f t="shared" ref="AJ48" si="185">AVERAGE(AJ49:AJ52)</f>
        <v>2.4265686519256451</v>
      </c>
      <c r="AK48" s="179">
        <f t="shared" ref="AK48" si="186">AVERAGE(AK49:AK52)</f>
        <v>145.85039443123586</v>
      </c>
      <c r="AL48" s="179">
        <f t="shared" ref="AL48" si="187">AVERAGE(AL49:AL52)</f>
        <v>0.59856255651262069</v>
      </c>
      <c r="AM48" s="179">
        <f t="shared" ref="AM48" si="188">AVERAGE(AM49:AM52)</f>
        <v>1.1321854255111605</v>
      </c>
      <c r="AN48" s="179">
        <f t="shared" ref="AN48" si="189">AVERAGE(AN49:AN52)</f>
        <v>1.4238533321870555</v>
      </c>
      <c r="AO48" s="179">
        <f t="shared" ref="AO48" si="190">AVERAGE(AO49:AO52)</f>
        <v>14.688685356557729</v>
      </c>
      <c r="AP48" s="179">
        <f t="shared" ref="AP48" si="191">AVERAGE(AP49:AP52)</f>
        <v>0.32685577593321813</v>
      </c>
      <c r="AQ48" s="179">
        <f t="shared" ref="AQ48" si="192">AVERAGE(AQ49:AQ52)</f>
        <v>0.52124400459577735</v>
      </c>
      <c r="AR48" s="179">
        <f t="shared" ref="AR48" si="193">AVERAGE(AR49:AR52)</f>
        <v>2.1835723792393811</v>
      </c>
      <c r="AS48" s="179">
        <f t="shared" ref="AS48" si="194">AVERAGE(AS49:AS52)</f>
        <v>22.574134486225937</v>
      </c>
      <c r="AT48" s="179">
        <f t="shared" ref="AT48" si="195">AVERAGE(AT49:AT52)</f>
        <v>0.68856781070681816</v>
      </c>
      <c r="AU48" s="179">
        <f t="shared" ref="AU48" si="196">AVERAGE(AU49:AU52)</f>
        <v>1.1762501279680202</v>
      </c>
      <c r="AV48" s="179">
        <f t="shared" ref="AV48" si="197">AVERAGE(AV49:AV52)</f>
        <v>1.5441729712944765</v>
      </c>
      <c r="AW48" s="230">
        <f>AVERAGE(AW49:AW52)</f>
        <v>0.86637744944861594</v>
      </c>
      <c r="AX48" s="183" t="s">
        <v>140</v>
      </c>
    </row>
    <row r="49" spans="1:50" x14ac:dyDescent="0.2">
      <c r="A49" s="184" t="s">
        <v>141</v>
      </c>
      <c r="B49" s="180">
        <f t="shared" ref="B49:B59" si="198">IF($O$1=1,Q49,IF($O$1=2,Y49,AG49))</f>
        <v>71.244695487479831</v>
      </c>
      <c r="C49" s="180">
        <f t="shared" ref="C49:C59" si="199">IF($O$1=1,R49,IF($O$1=2,Z49,AH49))</f>
        <v>0.44421448797446522</v>
      </c>
      <c r="D49" s="180">
        <f t="shared" ref="D49:D59" si="200">IF($O$1=1,S49,IF($O$1=2,AA49,AI49))</f>
        <v>0.57190083080740206</v>
      </c>
      <c r="E49" s="180">
        <f t="shared" ref="E49:E59" si="201">IF($O$1=1,T49,IF($O$1=2,AB49,AJ49))</f>
        <v>3.7053817799819275</v>
      </c>
      <c r="F49" s="180">
        <f t="shared" ref="F49:F59" si="202">IF($O$1=1,U49,IF($O$1=2,AC49,AK49))</f>
        <v>140.35607511309519</v>
      </c>
      <c r="G49" s="180">
        <f t="shared" ref="G49:G59" si="203">IF($O$1=1,V49,IF($O$1=2,AD49,AL49))</f>
        <v>1.0079639327544119</v>
      </c>
      <c r="H49" s="180">
        <f t="shared" ref="H49:H59" si="204">IF($O$1=1,W49,IF($O$1=2,AE49,AM49))</f>
        <v>1.395562156178664</v>
      </c>
      <c r="I49" s="180">
        <f t="shared" ref="I49:I59" si="205">IF($O$1=1,X49,IF($O$1=2,AF49,AN49))</f>
        <v>1.4674215426395454</v>
      </c>
      <c r="J49" s="229">
        <f t="shared" si="166"/>
        <v>0.84999997019767759</v>
      </c>
      <c r="P49" s="184" t="s">
        <v>141</v>
      </c>
      <c r="Q49" s="182">
        <f t="shared" ref="Q49:Q58" si="206">Q64*AO49/AO64</f>
        <v>71.244695487479831</v>
      </c>
      <c r="R49" s="182">
        <f t="shared" ref="R49:R59" si="207">R64*AP49/AP64</f>
        <v>0.44421448797446522</v>
      </c>
      <c r="S49" s="182">
        <f t="shared" ref="S49:S59" si="208">S64*AQ49/AQ64</f>
        <v>0.57190083080740206</v>
      </c>
      <c r="T49" s="182">
        <f t="shared" ref="T49:T59" si="209">T64*AR49/AR64</f>
        <v>3.7053817799819275</v>
      </c>
      <c r="U49" s="182">
        <f t="shared" ref="U49:U59" si="210">U64*AS49/AS64</f>
        <v>140.35607511309519</v>
      </c>
      <c r="V49" s="182">
        <f t="shared" ref="V49:V59" si="211">V64*AT49/AT64</f>
        <v>1.0079639327544119</v>
      </c>
      <c r="W49" s="182">
        <f t="shared" ref="W49:W59" si="212">W64*AU49/AU64</f>
        <v>1.395562156178664</v>
      </c>
      <c r="X49" s="182">
        <f t="shared" ref="X49:X59" si="213">X64*AV49/AV64</f>
        <v>1.4674215426395454</v>
      </c>
      <c r="Y49" s="182">
        <f t="shared" ref="Y49:Y58" si="214">Y64*AO49/AO64</f>
        <v>27.605293275474803</v>
      </c>
      <c r="Z49" s="182">
        <f t="shared" ref="Z49:Z59" si="215">Z64*AP49/AP64</f>
        <v>0.16334667623100585</v>
      </c>
      <c r="AA49" s="182">
        <f t="shared" ref="AA49:AA59" si="216">AA64*AQ49/AQ64</f>
        <v>0.38348552246989359</v>
      </c>
      <c r="AB49" s="182">
        <f t="shared" ref="AB49:AB59" si="217">AB64*AR49/AR64</f>
        <v>2.411074736035097</v>
      </c>
      <c r="AC49" s="182">
        <f t="shared" ref="AC49:AC59" si="218">AC64*AS49/AS64</f>
        <v>72.380003662005564</v>
      </c>
      <c r="AD49" s="182">
        <f t="shared" ref="AD49:AD59" si="219">AD64*AT49/AT64</f>
        <v>0.4339547964657654</v>
      </c>
      <c r="AE49" s="182">
        <f t="shared" ref="AE49:AE59" si="220">AE64*AU49/AU64</f>
        <v>1.4734026885658926</v>
      </c>
      <c r="AF49" s="182">
        <f t="shared" ref="AF49:AF59" si="221">AF64*AV49/AV64</f>
        <v>1.7608575826290866</v>
      </c>
      <c r="AG49" s="182">
        <f t="shared" ref="AG49:AG58" si="222">AG64*AO49/AO64</f>
        <v>59.015198987027965</v>
      </c>
      <c r="AH49" s="182">
        <f t="shared" ref="AH49:AH59" si="223">AH64*AP49/AP64</f>
        <v>0.23701436566612605</v>
      </c>
      <c r="AI49" s="182">
        <f t="shared" ref="AI49:AI59" si="224">AI64*AQ49/AQ64</f>
        <v>0.42473285987148607</v>
      </c>
      <c r="AJ49" s="182">
        <f t="shared" ref="AJ49:AJ59" si="225">AJ64*AR49/AR64</f>
        <v>2.7369976479164606</v>
      </c>
      <c r="AK49" s="182">
        <f t="shared" ref="AK49:AK59" si="226">AK64*AS49/AS64</f>
        <v>166.28458632111941</v>
      </c>
      <c r="AL49" s="182">
        <f t="shared" ref="AL49:AL59" si="227">AL64*AT49/AT64</f>
        <v>0.67666037335865692</v>
      </c>
      <c r="AM49" s="182">
        <f t="shared" ref="AM49:AM59" si="228">AM64*AU49/AU64</f>
        <v>1.236096087751956</v>
      </c>
      <c r="AN49" s="182">
        <f t="shared" ref="AN49:AN59" si="229">AN64*AV49/AV64</f>
        <v>1.6126779613505398</v>
      </c>
      <c r="AO49" s="180">
        <f>(AO34+AO64)/2</f>
        <v>11.292878969570879</v>
      </c>
      <c r="AP49" s="180">
        <f t="shared" ref="AP49:AW49" si="230">(AP34+AP64)/2</f>
        <v>0.33925554058748147</v>
      </c>
      <c r="AQ49" s="180">
        <f t="shared" si="230"/>
        <v>0.61803702714023778</v>
      </c>
      <c r="AR49" s="180">
        <f t="shared" si="230"/>
        <v>2.0930406356660218</v>
      </c>
      <c r="AS49" s="180">
        <f t="shared" si="230"/>
        <v>18.839179813097687</v>
      </c>
      <c r="AT49" s="180">
        <f t="shared" si="230"/>
        <v>0.6848205362136166</v>
      </c>
      <c r="AU49" s="180">
        <f t="shared" si="230"/>
        <v>1.1816735152537241</v>
      </c>
      <c r="AV49" s="180">
        <f t="shared" si="230"/>
        <v>1.4616581086929028</v>
      </c>
      <c r="AW49" s="201">
        <f t="shared" si="230"/>
        <v>0.84999997019767759</v>
      </c>
      <c r="AX49" s="184" t="s">
        <v>141</v>
      </c>
    </row>
    <row r="50" spans="1:50" x14ac:dyDescent="0.2">
      <c r="A50" s="183" t="s">
        <v>142</v>
      </c>
      <c r="B50" s="180">
        <f t="shared" si="198"/>
        <v>79.418669758750028</v>
      </c>
      <c r="C50" s="180">
        <f t="shared" si="199"/>
        <v>0.40042035733714687</v>
      </c>
      <c r="D50" s="180">
        <f t="shared" si="200"/>
        <v>0.48959701314912857</v>
      </c>
      <c r="E50" s="180">
        <f t="shared" si="201"/>
        <v>3.6319259444878189</v>
      </c>
      <c r="F50" s="180">
        <f t="shared" si="202"/>
        <v>151.56618703153939</v>
      </c>
      <c r="G50" s="180">
        <f t="shared" si="203"/>
        <v>0.96297166168274462</v>
      </c>
      <c r="H50" s="180">
        <f t="shared" si="204"/>
        <v>1.3315739695457682</v>
      </c>
      <c r="I50" s="180">
        <f t="shared" si="205"/>
        <v>1.5189078969938006</v>
      </c>
      <c r="J50" s="229">
        <f t="shared" si="166"/>
        <v>0.93001479499610573</v>
      </c>
      <c r="P50" s="183" t="s">
        <v>142</v>
      </c>
      <c r="Q50" s="182">
        <f t="shared" si="206"/>
        <v>79.418669758750028</v>
      </c>
      <c r="R50" s="182">
        <f t="shared" si="207"/>
        <v>0.40042035733714687</v>
      </c>
      <c r="S50" s="182">
        <f t="shared" si="208"/>
        <v>0.48959701314912857</v>
      </c>
      <c r="T50" s="182">
        <f t="shared" si="209"/>
        <v>3.6319259444878189</v>
      </c>
      <c r="U50" s="182">
        <f t="shared" si="210"/>
        <v>151.56618703153939</v>
      </c>
      <c r="V50" s="182">
        <f t="shared" si="211"/>
        <v>0.96297166168274462</v>
      </c>
      <c r="W50" s="182">
        <f t="shared" si="212"/>
        <v>1.3315739695457682</v>
      </c>
      <c r="X50" s="182">
        <f t="shared" si="213"/>
        <v>1.5189078969938006</v>
      </c>
      <c r="Y50" s="182">
        <f t="shared" si="214"/>
        <v>24.686589821141286</v>
      </c>
      <c r="Z50" s="182">
        <f t="shared" si="215"/>
        <v>0.16160782633668319</v>
      </c>
      <c r="AA50" s="182">
        <f t="shared" si="216"/>
        <v>0.38082459978536004</v>
      </c>
      <c r="AB50" s="182">
        <f t="shared" si="217"/>
        <v>2.2979709672785322</v>
      </c>
      <c r="AC50" s="182">
        <f t="shared" si="218"/>
        <v>68.791196490071826</v>
      </c>
      <c r="AD50" s="182">
        <f t="shared" si="219"/>
        <v>0.41803931918322534</v>
      </c>
      <c r="AE50" s="182">
        <f t="shared" si="220"/>
        <v>1.4572787898889725</v>
      </c>
      <c r="AF50" s="182">
        <f t="shared" si="221"/>
        <v>1.6529204166169424</v>
      </c>
      <c r="AG50" s="182">
        <f t="shared" si="222"/>
        <v>52.775530984853631</v>
      </c>
      <c r="AH50" s="182">
        <f t="shared" si="223"/>
        <v>0.23449131215686059</v>
      </c>
      <c r="AI50" s="182">
        <f t="shared" si="224"/>
        <v>0.42178573087840238</v>
      </c>
      <c r="AJ50" s="182">
        <f t="shared" si="225"/>
        <v>2.608604801178632</v>
      </c>
      <c r="AK50" s="182">
        <f t="shared" si="226"/>
        <v>158.03972191412123</v>
      </c>
      <c r="AL50" s="182">
        <f t="shared" si="227"/>
        <v>0.65184356550702527</v>
      </c>
      <c r="AM50" s="182">
        <f t="shared" si="228"/>
        <v>1.2225691081770451</v>
      </c>
      <c r="AN50" s="182">
        <f t="shared" si="229"/>
        <v>1.5138239196860663</v>
      </c>
      <c r="AO50" s="180">
        <f t="shared" ref="AO50:AW50" si="231">(AO35+AO65)/2</f>
        <v>18.298654643235338</v>
      </c>
      <c r="AP50" s="180">
        <f t="shared" si="231"/>
        <v>0.33688321833521057</v>
      </c>
      <c r="AQ50" s="180">
        <f t="shared" si="231"/>
        <v>0.49919931777396431</v>
      </c>
      <c r="AR50" s="180">
        <f t="shared" si="231"/>
        <v>2.2413980643718672</v>
      </c>
      <c r="AS50" s="180">
        <f t="shared" si="231"/>
        <v>26.163886631528534</v>
      </c>
      <c r="AT50" s="180">
        <f t="shared" si="231"/>
        <v>0.69838519683346534</v>
      </c>
      <c r="AU50" s="180">
        <f t="shared" si="231"/>
        <v>1.1680168009912357</v>
      </c>
      <c r="AV50" s="180">
        <f t="shared" si="231"/>
        <v>1.5922187108259935</v>
      </c>
      <c r="AW50" s="201">
        <f t="shared" si="231"/>
        <v>0.93001479499610573</v>
      </c>
      <c r="AX50" s="183" t="s">
        <v>142</v>
      </c>
    </row>
    <row r="51" spans="1:50" x14ac:dyDescent="0.2">
      <c r="A51" s="184" t="s">
        <v>143</v>
      </c>
      <c r="B51" s="180">
        <f t="shared" si="198"/>
        <v>97.563542295023083</v>
      </c>
      <c r="C51" s="180">
        <f t="shared" si="199"/>
        <v>0.47889199689780532</v>
      </c>
      <c r="D51" s="180">
        <f t="shared" si="200"/>
        <v>0.54579186184433903</v>
      </c>
      <c r="E51" s="180">
        <f t="shared" si="201"/>
        <v>3.7647592524065483</v>
      </c>
      <c r="F51" s="180">
        <f t="shared" si="202"/>
        <v>155.05865687405932</v>
      </c>
      <c r="G51" s="180">
        <f t="shared" si="203"/>
        <v>1.0139717979669869</v>
      </c>
      <c r="H51" s="180">
        <f t="shared" si="204"/>
        <v>1.5144867786615315</v>
      </c>
      <c r="I51" s="180">
        <f t="shared" si="205"/>
        <v>1.377484081935096</v>
      </c>
      <c r="J51" s="229">
        <f t="shared" si="166"/>
        <v>0.83549503260068025</v>
      </c>
      <c r="P51" s="184" t="s">
        <v>143</v>
      </c>
      <c r="Q51" s="182">
        <f t="shared" si="206"/>
        <v>97.563542295023083</v>
      </c>
      <c r="R51" s="182">
        <f t="shared" si="207"/>
        <v>0.47889199689780532</v>
      </c>
      <c r="S51" s="182">
        <f t="shared" si="208"/>
        <v>0.54579186184433903</v>
      </c>
      <c r="T51" s="182">
        <f t="shared" si="209"/>
        <v>3.7647592524065483</v>
      </c>
      <c r="U51" s="182">
        <f t="shared" si="210"/>
        <v>155.05865687405932</v>
      </c>
      <c r="V51" s="182">
        <f t="shared" si="211"/>
        <v>1.0139717979669869</v>
      </c>
      <c r="W51" s="182">
        <f t="shared" si="212"/>
        <v>1.5144867786615315</v>
      </c>
      <c r="X51" s="182">
        <f t="shared" si="213"/>
        <v>1.377484081935096</v>
      </c>
      <c r="Y51" s="182">
        <f t="shared" si="214"/>
        <v>21.465431565492878</v>
      </c>
      <c r="Z51" s="182">
        <f t="shared" si="215"/>
        <v>0.13779202250537459</v>
      </c>
      <c r="AA51" s="182">
        <f t="shared" si="216"/>
        <v>0.26217992079960822</v>
      </c>
      <c r="AB51" s="182">
        <f t="shared" si="217"/>
        <v>2.4068383936648239</v>
      </c>
      <c r="AC51" s="182">
        <f t="shared" si="218"/>
        <v>66.528546263698459</v>
      </c>
      <c r="AD51" s="182">
        <f t="shared" si="219"/>
        <v>0.41182920674349377</v>
      </c>
      <c r="AE51" s="182">
        <f t="shared" si="220"/>
        <v>1.3678836159175851</v>
      </c>
      <c r="AF51" s="182">
        <f t="shared" si="221"/>
        <v>1.80688777269879</v>
      </c>
      <c r="AG51" s="182">
        <f t="shared" si="222"/>
        <v>54.324132497296723</v>
      </c>
      <c r="AH51" s="182">
        <f t="shared" si="223"/>
        <v>0.23668465793512117</v>
      </c>
      <c r="AI51" s="182">
        <f t="shared" si="224"/>
        <v>0.43422713591722434</v>
      </c>
      <c r="AJ51" s="182">
        <f t="shared" si="225"/>
        <v>2.3397261671647382</v>
      </c>
      <c r="AK51" s="182">
        <f t="shared" si="226"/>
        <v>131.64457118443312</v>
      </c>
      <c r="AL51" s="182">
        <f t="shared" si="227"/>
        <v>0.55310160839392875</v>
      </c>
      <c r="AM51" s="182">
        <f t="shared" si="228"/>
        <v>1.1287696296298262</v>
      </c>
      <c r="AN51" s="182">
        <f t="shared" si="229"/>
        <v>1.3631173609874707</v>
      </c>
      <c r="AO51" s="180">
        <f t="shared" ref="AO51:AW51" si="232">(AO36+AO66)/2</f>
        <v>8.545581967506223</v>
      </c>
      <c r="AP51" s="180">
        <f t="shared" si="232"/>
        <v>0.20039110896495177</v>
      </c>
      <c r="AQ51" s="180">
        <f t="shared" si="232"/>
        <v>0.35254487461077966</v>
      </c>
      <c r="AR51" s="180">
        <f t="shared" si="232"/>
        <v>2.3198674962593193</v>
      </c>
      <c r="AS51" s="180">
        <f t="shared" si="232"/>
        <v>17.56042216412532</v>
      </c>
      <c r="AT51" s="180">
        <f t="shared" si="232"/>
        <v>0.61082647978447568</v>
      </c>
      <c r="AU51" s="180">
        <f t="shared" si="232"/>
        <v>1.1772778755388198</v>
      </c>
      <c r="AV51" s="180">
        <f t="shared" si="232"/>
        <v>1.7402845911490612</v>
      </c>
      <c r="AW51" s="201">
        <f t="shared" si="232"/>
        <v>0.83549503260068025</v>
      </c>
      <c r="AX51" s="184" t="s">
        <v>143</v>
      </c>
    </row>
    <row r="52" spans="1:50" x14ac:dyDescent="0.2">
      <c r="A52" s="183" t="s">
        <v>144</v>
      </c>
      <c r="B52" s="180">
        <f t="shared" si="198"/>
        <v>43.7077730374411</v>
      </c>
      <c r="C52" s="180">
        <f t="shared" si="199"/>
        <v>0.34147195313306639</v>
      </c>
      <c r="D52" s="180">
        <f t="shared" si="200"/>
        <v>0.43918315539789726</v>
      </c>
      <c r="E52" s="180">
        <f t="shared" si="201"/>
        <v>3.6642088693931161</v>
      </c>
      <c r="F52" s="180">
        <f t="shared" si="202"/>
        <v>113.8402021088344</v>
      </c>
      <c r="G52" s="180">
        <f t="shared" si="203"/>
        <v>0.91414840111532303</v>
      </c>
      <c r="H52" s="180">
        <f t="shared" si="204"/>
        <v>1.2467919608105993</v>
      </c>
      <c r="I52" s="180">
        <f t="shared" si="205"/>
        <v>1.7382040303740298</v>
      </c>
      <c r="J52" s="229">
        <f t="shared" si="166"/>
        <v>0.85</v>
      </c>
      <c r="P52" s="183" t="s">
        <v>144</v>
      </c>
      <c r="Q52" s="182">
        <f t="shared" si="206"/>
        <v>43.7077730374411</v>
      </c>
      <c r="R52" s="182">
        <f t="shared" si="207"/>
        <v>0.34147195313306639</v>
      </c>
      <c r="S52" s="182">
        <f t="shared" si="208"/>
        <v>0.43918315539789726</v>
      </c>
      <c r="T52" s="182">
        <f t="shared" si="209"/>
        <v>3.6642088693931161</v>
      </c>
      <c r="U52" s="182">
        <f t="shared" si="210"/>
        <v>113.8402021088344</v>
      </c>
      <c r="V52" s="182">
        <f t="shared" si="211"/>
        <v>0.91414840111532303</v>
      </c>
      <c r="W52" s="182">
        <f t="shared" si="212"/>
        <v>1.2467919608105993</v>
      </c>
      <c r="X52" s="182">
        <f t="shared" si="213"/>
        <v>1.7382040303740298</v>
      </c>
      <c r="Y52" s="182">
        <f t="shared" si="214"/>
        <v>23.459997499945509</v>
      </c>
      <c r="Z52" s="182">
        <f t="shared" si="215"/>
        <v>0.14583116886846811</v>
      </c>
      <c r="AA52" s="182">
        <f t="shared" si="216"/>
        <v>0.51818999335260052</v>
      </c>
      <c r="AB52" s="182">
        <f t="shared" si="217"/>
        <v>2.1301843862245899</v>
      </c>
      <c r="AC52" s="182">
        <f t="shared" si="218"/>
        <v>63.850558385328931</v>
      </c>
      <c r="AD52" s="182">
        <f t="shared" si="219"/>
        <v>0.37844904774173749</v>
      </c>
      <c r="AE52" s="182">
        <f t="shared" si="220"/>
        <v>1.532734369007432</v>
      </c>
      <c r="AF52" s="182">
        <f t="shared" si="221"/>
        <v>1.5060399617877978</v>
      </c>
      <c r="AG52" s="182">
        <f t="shared" si="222"/>
        <v>58.766815911687154</v>
      </c>
      <c r="AH52" s="182">
        <f t="shared" si="223"/>
        <v>0.24794046609540965</v>
      </c>
      <c r="AI52" s="182">
        <f t="shared" si="224"/>
        <v>0.46477872021935063</v>
      </c>
      <c r="AJ52" s="182">
        <f t="shared" si="225"/>
        <v>2.020945991442749</v>
      </c>
      <c r="AK52" s="182">
        <f t="shared" si="226"/>
        <v>127.43269830526964</v>
      </c>
      <c r="AL52" s="182">
        <f t="shared" si="227"/>
        <v>0.51264467879087183</v>
      </c>
      <c r="AM52" s="182">
        <f t="shared" si="228"/>
        <v>0.94130687648581535</v>
      </c>
      <c r="AN52" s="182">
        <f t="shared" si="229"/>
        <v>1.2057940867241452</v>
      </c>
      <c r="AO52" s="180">
        <f t="shared" ref="AO52:AW52" si="233">(AO37+AO67)/2</f>
        <v>20.617625845918475</v>
      </c>
      <c r="AP52" s="180">
        <f t="shared" si="233"/>
        <v>0.43089323584522865</v>
      </c>
      <c r="AQ52" s="180">
        <f t="shared" si="233"/>
        <v>0.61519479885812767</v>
      </c>
      <c r="AR52" s="180">
        <f t="shared" si="233"/>
        <v>2.079983320660316</v>
      </c>
      <c r="AS52" s="180">
        <f t="shared" si="233"/>
        <v>27.733049336152199</v>
      </c>
      <c r="AT52" s="180">
        <f t="shared" si="233"/>
        <v>0.76023902999571502</v>
      </c>
      <c r="AU52" s="180">
        <f t="shared" si="233"/>
        <v>1.1780323200883009</v>
      </c>
      <c r="AV52" s="180">
        <f t="shared" si="233"/>
        <v>1.3825304745099483</v>
      </c>
      <c r="AW52" s="201">
        <f t="shared" si="233"/>
        <v>0.85</v>
      </c>
      <c r="AX52" s="183" t="s">
        <v>144</v>
      </c>
    </row>
    <row r="53" spans="1:50" x14ac:dyDescent="0.2">
      <c r="A53" s="184" t="s">
        <v>145</v>
      </c>
      <c r="B53" s="180">
        <f t="shared" si="198"/>
        <v>56.611245200183447</v>
      </c>
      <c r="C53" s="180">
        <f t="shared" si="199"/>
        <v>0.34054319245084175</v>
      </c>
      <c r="D53" s="180">
        <f t="shared" si="200"/>
        <v>0.42999503792490329</v>
      </c>
      <c r="E53" s="180">
        <f t="shared" si="201"/>
        <v>2.8225862342495089</v>
      </c>
      <c r="F53" s="180">
        <f t="shared" si="202"/>
        <v>91.530109982882252</v>
      </c>
      <c r="G53" s="180">
        <f t="shared" si="203"/>
        <v>0.71798673839527549</v>
      </c>
      <c r="H53" s="180">
        <f t="shared" si="204"/>
        <v>0.97302549202446531</v>
      </c>
      <c r="I53" s="180">
        <f t="shared" si="205"/>
        <v>1.1201036044383605</v>
      </c>
      <c r="J53" s="229">
        <f t="shared" si="166"/>
        <v>0.61675761938095097</v>
      </c>
      <c r="P53" s="184" t="s">
        <v>145</v>
      </c>
      <c r="Q53" s="182">
        <f t="shared" si="206"/>
        <v>56.611245200183447</v>
      </c>
      <c r="R53" s="182">
        <f t="shared" si="207"/>
        <v>0.34054319245084175</v>
      </c>
      <c r="S53" s="182">
        <f t="shared" si="208"/>
        <v>0.42999503792490329</v>
      </c>
      <c r="T53" s="182">
        <f t="shared" si="209"/>
        <v>2.8225862342495089</v>
      </c>
      <c r="U53" s="182">
        <f t="shared" si="210"/>
        <v>91.530109982882252</v>
      </c>
      <c r="V53" s="182">
        <f t="shared" si="211"/>
        <v>0.71798673839527549</v>
      </c>
      <c r="W53" s="182">
        <f t="shared" si="212"/>
        <v>0.97302549202446531</v>
      </c>
      <c r="X53" s="182">
        <f t="shared" si="213"/>
        <v>1.1201036044383605</v>
      </c>
      <c r="Y53" s="182">
        <f t="shared" si="214"/>
        <v>19.081056190043931</v>
      </c>
      <c r="Z53" s="182">
        <f t="shared" si="215"/>
        <v>0.14093853346829596</v>
      </c>
      <c r="AA53" s="182">
        <f t="shared" si="216"/>
        <v>0.28719712735019431</v>
      </c>
      <c r="AB53" s="182">
        <f t="shared" si="217"/>
        <v>2.3262075474623707</v>
      </c>
      <c r="AC53" s="182">
        <f t="shared" si="218"/>
        <v>49.533652890374114</v>
      </c>
      <c r="AD53" s="182">
        <f t="shared" si="219"/>
        <v>0.38442228425804398</v>
      </c>
      <c r="AE53" s="182">
        <f t="shared" si="220"/>
        <v>1.229899061065165</v>
      </c>
      <c r="AF53" s="182">
        <f t="shared" si="221"/>
        <v>1.6955526245410881</v>
      </c>
      <c r="AG53" s="182">
        <f t="shared" si="222"/>
        <v>12.689826294489025</v>
      </c>
      <c r="AH53" s="182">
        <f t="shared" si="223"/>
        <v>7.7656787652654005E-2</v>
      </c>
      <c r="AI53" s="182">
        <f t="shared" si="224"/>
        <v>0.2463500624889837</v>
      </c>
      <c r="AJ53" s="182">
        <f t="shared" si="225"/>
        <v>2.4008494457536855</v>
      </c>
      <c r="AK53" s="182">
        <f t="shared" si="226"/>
        <v>67.040441339800054</v>
      </c>
      <c r="AL53" s="182">
        <f t="shared" si="227"/>
        <v>0.43106371733024967</v>
      </c>
      <c r="AM53" s="182">
        <f t="shared" si="228"/>
        <v>0.90682890689441586</v>
      </c>
      <c r="AN53" s="182">
        <f t="shared" si="229"/>
        <v>1.530312808545885</v>
      </c>
      <c r="AO53" s="180">
        <f t="shared" ref="AO53:AW53" si="234">(AO38+AO68)/2</f>
        <v>3.3258498005297943</v>
      </c>
      <c r="AP53" s="180">
        <f t="shared" si="234"/>
        <v>0.16494550829207738</v>
      </c>
      <c r="AQ53" s="180">
        <f t="shared" si="234"/>
        <v>0.21256963866714301</v>
      </c>
      <c r="AR53" s="180">
        <f t="shared" si="234"/>
        <v>2.4278428560907122</v>
      </c>
      <c r="AS53" s="180">
        <f t="shared" si="234"/>
        <v>11.977737915751181</v>
      </c>
      <c r="AT53" s="180">
        <f t="shared" si="234"/>
        <v>0.56308119185268879</v>
      </c>
      <c r="AU53" s="180">
        <f t="shared" si="234"/>
        <v>0.9191877725289056</v>
      </c>
      <c r="AV53" s="180">
        <f t="shared" si="234"/>
        <v>1.8808685823490745</v>
      </c>
      <c r="AW53" s="201">
        <f t="shared" si="234"/>
        <v>0.61675761938095097</v>
      </c>
      <c r="AX53" s="184" t="s">
        <v>145</v>
      </c>
    </row>
    <row r="54" spans="1:50" x14ac:dyDescent="0.2">
      <c r="A54" s="183" t="s">
        <v>146</v>
      </c>
      <c r="B54" s="180">
        <f t="shared" si="198"/>
        <v>59.59353325144771</v>
      </c>
      <c r="C54" s="180">
        <f t="shared" si="199"/>
        <v>0.3298871207814853</v>
      </c>
      <c r="D54" s="180">
        <f t="shared" si="200"/>
        <v>0.41653180549231078</v>
      </c>
      <c r="E54" s="180">
        <f t="shared" si="201"/>
        <v>2.9048610994004695</v>
      </c>
      <c r="F54" s="180">
        <f t="shared" si="202"/>
        <v>103.10502305698228</v>
      </c>
      <c r="G54" s="180">
        <f t="shared" si="203"/>
        <v>0.74875745073599187</v>
      </c>
      <c r="H54" s="180">
        <f t="shared" si="204"/>
        <v>1.0278130572234427</v>
      </c>
      <c r="I54" s="180">
        <f t="shared" si="205"/>
        <v>1.1780059036158186</v>
      </c>
      <c r="J54" s="229">
        <f t="shared" si="166"/>
        <v>0.5</v>
      </c>
      <c r="P54" s="183" t="s">
        <v>146</v>
      </c>
      <c r="Q54" s="182">
        <f t="shared" si="206"/>
        <v>59.59353325144771</v>
      </c>
      <c r="R54" s="182">
        <f t="shared" si="207"/>
        <v>0.3298871207814853</v>
      </c>
      <c r="S54" s="182">
        <f t="shared" si="208"/>
        <v>0.41653180549231078</v>
      </c>
      <c r="T54" s="182">
        <f t="shared" si="209"/>
        <v>2.9048610994004695</v>
      </c>
      <c r="U54" s="182">
        <f t="shared" si="210"/>
        <v>103.10502305698228</v>
      </c>
      <c r="V54" s="182">
        <f t="shared" si="211"/>
        <v>0.74875745073599187</v>
      </c>
      <c r="W54" s="182">
        <f t="shared" si="212"/>
        <v>1.0278130572234427</v>
      </c>
      <c r="X54" s="182">
        <f t="shared" si="213"/>
        <v>1.1780059036158186</v>
      </c>
      <c r="Y54" s="182">
        <f t="shared" si="214"/>
        <v>30.809872559804219</v>
      </c>
      <c r="Z54" s="182">
        <f t="shared" si="215"/>
        <v>0.20941798158956421</v>
      </c>
      <c r="AA54" s="182">
        <f t="shared" si="216"/>
        <v>0.21411134840227899</v>
      </c>
      <c r="AB54" s="182">
        <f t="shared" si="217"/>
        <v>2.4913376630095905</v>
      </c>
      <c r="AC54" s="182">
        <f t="shared" si="218"/>
        <v>65.769526482879911</v>
      </c>
      <c r="AD54" s="182">
        <f t="shared" si="219"/>
        <v>0.47254351608360129</v>
      </c>
      <c r="AE54" s="182">
        <f t="shared" si="220"/>
        <v>1.1429294489875581</v>
      </c>
      <c r="AF54" s="182">
        <f t="shared" si="221"/>
        <v>1.8720694478126612</v>
      </c>
      <c r="AG54" s="182">
        <f t="shared" si="222"/>
        <v>28.051708365231406</v>
      </c>
      <c r="AH54" s="182">
        <f t="shared" si="223"/>
        <v>8.3519284720608489E-2</v>
      </c>
      <c r="AI54" s="182">
        <f t="shared" si="224"/>
        <v>0.22889792077587967</v>
      </c>
      <c r="AJ54" s="182">
        <f t="shared" si="225"/>
        <v>1.9727334022297662</v>
      </c>
      <c r="AK54" s="182">
        <f t="shared" si="226"/>
        <v>114.10662146271405</v>
      </c>
      <c r="AL54" s="182">
        <f t="shared" si="227"/>
        <v>0.35911316257377646</v>
      </c>
      <c r="AM54" s="182">
        <f t="shared" si="228"/>
        <v>0.7426347388669674</v>
      </c>
      <c r="AN54" s="182">
        <f t="shared" si="229"/>
        <v>1.3021662371844152</v>
      </c>
      <c r="AO54" s="180">
        <f t="shared" ref="AO54:AW54" si="235">(AO39+AO69)/2</f>
        <v>7.3520130619551178</v>
      </c>
      <c r="AP54" s="180">
        <f t="shared" si="235"/>
        <v>0.26406240978190654</v>
      </c>
      <c r="AQ54" s="180">
        <f t="shared" si="235"/>
        <v>0.35701061538679824</v>
      </c>
      <c r="AR54" s="180">
        <f t="shared" si="235"/>
        <v>2.2827328206039965</v>
      </c>
      <c r="AS54" s="180">
        <f t="shared" si="235"/>
        <v>15.809289467521012</v>
      </c>
      <c r="AT54" s="180">
        <f t="shared" si="235"/>
        <v>0.66924518847372383</v>
      </c>
      <c r="AU54" s="180">
        <f t="shared" si="235"/>
        <v>1.0206914968439378</v>
      </c>
      <c r="AV54" s="180">
        <f t="shared" si="235"/>
        <v>1.6408222671598196</v>
      </c>
      <c r="AW54" s="201">
        <f t="shared" si="235"/>
        <v>0.5</v>
      </c>
      <c r="AX54" s="183" t="s">
        <v>146</v>
      </c>
    </row>
    <row r="55" spans="1:50" x14ac:dyDescent="0.2">
      <c r="A55" s="184" t="s">
        <v>147</v>
      </c>
      <c r="B55" s="180">
        <f t="shared" si="198"/>
        <v>0.34567130203557239</v>
      </c>
      <c r="C55" s="180">
        <f t="shared" si="199"/>
        <v>6.617292689585208E-2</v>
      </c>
      <c r="D55" s="180">
        <f t="shared" si="200"/>
        <v>0.10643323733362235</v>
      </c>
      <c r="E55" s="180">
        <f t="shared" si="201"/>
        <v>1.6953044864243236</v>
      </c>
      <c r="F55" s="180">
        <f t="shared" si="202"/>
        <v>9.3226354401751248</v>
      </c>
      <c r="G55" s="180">
        <f t="shared" si="203"/>
        <v>0.2466654033394827</v>
      </c>
      <c r="H55" s="180">
        <f t="shared" si="204"/>
        <v>0.478672989659985</v>
      </c>
      <c r="I55" s="180">
        <f t="shared" si="205"/>
        <v>1.45600664480166</v>
      </c>
      <c r="J55" s="229">
        <f t="shared" si="166"/>
        <v>0.11</v>
      </c>
      <c r="P55" s="184" t="s">
        <v>147</v>
      </c>
      <c r="Q55" s="182">
        <f t="shared" si="206"/>
        <v>0.34567130203557239</v>
      </c>
      <c r="R55" s="182">
        <f t="shared" si="207"/>
        <v>6.617292689585208E-2</v>
      </c>
      <c r="S55" s="182">
        <f t="shared" si="208"/>
        <v>0.10643323733362235</v>
      </c>
      <c r="T55" s="182">
        <f t="shared" si="209"/>
        <v>1.6953044864243236</v>
      </c>
      <c r="U55" s="182">
        <f t="shared" si="210"/>
        <v>9.3226354401751248</v>
      </c>
      <c r="V55" s="182">
        <f t="shared" si="211"/>
        <v>0.2466654033394827</v>
      </c>
      <c r="W55" s="182">
        <f t="shared" si="212"/>
        <v>0.478672989659985</v>
      </c>
      <c r="X55" s="182">
        <f t="shared" si="213"/>
        <v>1.45600664480166</v>
      </c>
      <c r="Y55" s="182">
        <f t="shared" si="214"/>
        <v>2.7132417483393092</v>
      </c>
      <c r="Z55" s="182">
        <f t="shared" si="215"/>
        <v>5.3762754644420069E-2</v>
      </c>
      <c r="AA55" s="182">
        <f t="shared" si="216"/>
        <v>0.36729624855880716</v>
      </c>
      <c r="AB55" s="182">
        <f t="shared" si="217"/>
        <v>1.9680142165516004</v>
      </c>
      <c r="AC55" s="182">
        <f t="shared" si="218"/>
        <v>19.389298297615785</v>
      </c>
      <c r="AD55" s="182">
        <f t="shared" si="219"/>
        <v>0.23857262440155655</v>
      </c>
      <c r="AE55" s="182">
        <f t="shared" si="220"/>
        <v>0.99805254459178006</v>
      </c>
      <c r="AF55" s="182">
        <f t="shared" si="221"/>
        <v>1.4819737860327979</v>
      </c>
      <c r="AG55" s="182">
        <f t="shared" si="222"/>
        <v>0.41606109573139149</v>
      </c>
      <c r="AH55" s="182">
        <f t="shared" si="223"/>
        <v>0.11890903579195559</v>
      </c>
      <c r="AI55" s="182">
        <f t="shared" si="224"/>
        <v>0.41878185873083668</v>
      </c>
      <c r="AJ55" s="182">
        <f t="shared" si="225"/>
        <v>2.4787073094195349</v>
      </c>
      <c r="AK55" s="182">
        <f t="shared" si="226"/>
        <v>2.2812914439994585</v>
      </c>
      <c r="AL55" s="182">
        <f t="shared" si="227"/>
        <v>0.40485920208416554</v>
      </c>
      <c r="AM55" s="182">
        <f t="shared" si="228"/>
        <v>0.82454497619848088</v>
      </c>
      <c r="AN55" s="182">
        <f t="shared" si="229"/>
        <v>1.6758446780207126</v>
      </c>
      <c r="AO55" s="180">
        <f t="shared" ref="AO55:AW55" si="236">(AO40+AO70)/2</f>
        <v>0.10904457477462852</v>
      </c>
      <c r="AP55" s="180">
        <f t="shared" si="236"/>
        <v>6.617292689585208E-2</v>
      </c>
      <c r="AQ55" s="180">
        <f t="shared" si="236"/>
        <v>0.10643323733362235</v>
      </c>
      <c r="AR55" s="180">
        <f t="shared" si="236"/>
        <v>1.6953044864243236</v>
      </c>
      <c r="AS55" s="180">
        <f t="shared" si="236"/>
        <v>2.9408944606230678</v>
      </c>
      <c r="AT55" s="180">
        <f t="shared" si="236"/>
        <v>0.24666540333948267</v>
      </c>
      <c r="AU55" s="180">
        <f t="shared" si="236"/>
        <v>0.47867298965998506</v>
      </c>
      <c r="AV55" s="180">
        <f t="shared" si="236"/>
        <v>1.45600664480166</v>
      </c>
      <c r="AW55" s="201">
        <f t="shared" si="236"/>
        <v>0.11</v>
      </c>
      <c r="AX55" s="184" t="s">
        <v>147</v>
      </c>
    </row>
    <row r="56" spans="1:50" x14ac:dyDescent="0.2">
      <c r="A56" s="183" t="s">
        <v>148</v>
      </c>
      <c r="B56" s="180">
        <f t="shared" si="198"/>
        <v>56.918985151062067</v>
      </c>
      <c r="C56" s="180">
        <f t="shared" si="199"/>
        <v>0.35528137957442707</v>
      </c>
      <c r="D56" s="180">
        <f t="shared" si="200"/>
        <v>0.44899622151776625</v>
      </c>
      <c r="E56" s="180">
        <f t="shared" si="201"/>
        <v>2.891047251242318</v>
      </c>
      <c r="F56" s="180">
        <f t="shared" si="202"/>
        <v>97.380081298674867</v>
      </c>
      <c r="G56" s="180">
        <f t="shared" si="203"/>
        <v>0.77191978280924367</v>
      </c>
      <c r="H56" s="180">
        <f t="shared" si="204"/>
        <v>1.05223116667626</v>
      </c>
      <c r="I56" s="180">
        <f t="shared" si="205"/>
        <v>1.1549169823549199</v>
      </c>
      <c r="J56" s="229">
        <f t="shared" si="166"/>
        <v>0.36229358911514281</v>
      </c>
      <c r="P56" s="183" t="s">
        <v>148</v>
      </c>
      <c r="Q56" s="182">
        <f t="shared" si="206"/>
        <v>56.918985151062067</v>
      </c>
      <c r="R56" s="182">
        <f t="shared" si="207"/>
        <v>0.35528137957442707</v>
      </c>
      <c r="S56" s="182">
        <f t="shared" si="208"/>
        <v>0.44899622151776625</v>
      </c>
      <c r="T56" s="182">
        <f t="shared" si="209"/>
        <v>2.891047251242318</v>
      </c>
      <c r="U56" s="182">
        <f t="shared" si="210"/>
        <v>97.380081298674867</v>
      </c>
      <c r="V56" s="182">
        <f t="shared" si="211"/>
        <v>0.77191978280924367</v>
      </c>
      <c r="W56" s="182">
        <f t="shared" si="212"/>
        <v>1.05223116667626</v>
      </c>
      <c r="X56" s="182">
        <f t="shared" si="213"/>
        <v>1.1549169823549199</v>
      </c>
      <c r="Y56" s="182">
        <f t="shared" si="214"/>
        <v>19.709926214496111</v>
      </c>
      <c r="Z56" s="182">
        <f t="shared" si="215"/>
        <v>0.15106301178999765</v>
      </c>
      <c r="AA56" s="182">
        <f t="shared" si="216"/>
        <v>0.16002561370593515</v>
      </c>
      <c r="AB56" s="182">
        <f t="shared" si="217"/>
        <v>2.3966891760491755</v>
      </c>
      <c r="AC56" s="182">
        <f t="shared" si="218"/>
        <v>52.366998803740174</v>
      </c>
      <c r="AD56" s="182">
        <f t="shared" si="219"/>
        <v>0.4106912814243952</v>
      </c>
      <c r="AE56" s="182">
        <f t="shared" si="220"/>
        <v>1.1041030460796026</v>
      </c>
      <c r="AF56" s="182">
        <f t="shared" si="221"/>
        <v>1.8388956743491272</v>
      </c>
      <c r="AG56" s="182">
        <f t="shared" si="222"/>
        <v>15.460353792579051</v>
      </c>
      <c r="AH56" s="182">
        <f t="shared" si="223"/>
        <v>0.17555411325789877</v>
      </c>
      <c r="AI56" s="182">
        <f t="shared" si="224"/>
        <v>0.30033322664979389</v>
      </c>
      <c r="AJ56" s="182">
        <f t="shared" si="225"/>
        <v>2.1628568452484673</v>
      </c>
      <c r="AK56" s="182">
        <f t="shared" si="226"/>
        <v>40.907259524414357</v>
      </c>
      <c r="AL56" s="182">
        <f t="shared" si="227"/>
        <v>0.47530964307027074</v>
      </c>
      <c r="AM56" s="182">
        <f t="shared" si="228"/>
        <v>0.85508422479985891</v>
      </c>
      <c r="AN56" s="182">
        <f t="shared" si="229"/>
        <v>1.3754063371132133</v>
      </c>
      <c r="AO56" s="180">
        <f t="shared" ref="AO56:AW56" si="237">(AO41+AO71)/2</f>
        <v>4.0519715072458782</v>
      </c>
      <c r="AP56" s="180">
        <f t="shared" si="237"/>
        <v>0.2810457083349378</v>
      </c>
      <c r="AQ56" s="180">
        <f t="shared" si="237"/>
        <v>0.38267961556718944</v>
      </c>
      <c r="AR56" s="180">
        <f t="shared" si="237"/>
        <v>2.2764837479094666</v>
      </c>
      <c r="AS56" s="180">
        <f t="shared" si="237"/>
        <v>11.344058552185693</v>
      </c>
      <c r="AT56" s="180">
        <f t="shared" si="237"/>
        <v>0.64824729590366281</v>
      </c>
      <c r="AU56" s="180">
        <f t="shared" si="237"/>
        <v>1.0119716032594441</v>
      </c>
      <c r="AV56" s="180">
        <f t="shared" si="237"/>
        <v>1.6633759307861329</v>
      </c>
      <c r="AW56" s="201">
        <f t="shared" si="237"/>
        <v>0.36229358911514281</v>
      </c>
      <c r="AX56" s="183" t="s">
        <v>148</v>
      </c>
    </row>
    <row r="57" spans="1:50" x14ac:dyDescent="0.2">
      <c r="A57" s="184" t="s">
        <v>149</v>
      </c>
      <c r="B57" s="180">
        <f t="shared" si="198"/>
        <v>59.476401626332638</v>
      </c>
      <c r="C57" s="180">
        <f t="shared" si="199"/>
        <v>0.34081531571002416</v>
      </c>
      <c r="D57" s="180">
        <f t="shared" si="200"/>
        <v>0.43029736054177115</v>
      </c>
      <c r="E57" s="180">
        <f t="shared" si="201"/>
        <v>2.8841409857652072</v>
      </c>
      <c r="F57" s="180">
        <f t="shared" si="202"/>
        <v>100.69643098322463</v>
      </c>
      <c r="G57" s="180">
        <f t="shared" si="203"/>
        <v>0.76886544753112107</v>
      </c>
      <c r="H57" s="180">
        <f t="shared" si="204"/>
        <v>1.0438335620151693</v>
      </c>
      <c r="I57" s="180">
        <f t="shared" si="205"/>
        <v>1.1599644509223095</v>
      </c>
      <c r="J57" s="229">
        <f t="shared" si="166"/>
        <v>0.368070610604191</v>
      </c>
      <c r="P57" s="184" t="s">
        <v>149</v>
      </c>
      <c r="Q57" s="182">
        <f t="shared" si="206"/>
        <v>59.476401626332638</v>
      </c>
      <c r="R57" s="182">
        <f t="shared" si="207"/>
        <v>0.34081531571002416</v>
      </c>
      <c r="S57" s="182">
        <f t="shared" si="208"/>
        <v>0.43029736054177115</v>
      </c>
      <c r="T57" s="182">
        <f t="shared" si="209"/>
        <v>2.8841409857652072</v>
      </c>
      <c r="U57" s="182">
        <f t="shared" si="210"/>
        <v>100.69643098322463</v>
      </c>
      <c r="V57" s="182">
        <f t="shared" si="211"/>
        <v>0.76886544753112107</v>
      </c>
      <c r="W57" s="182">
        <f t="shared" si="212"/>
        <v>1.0438335620151693</v>
      </c>
      <c r="X57" s="182">
        <f t="shared" si="213"/>
        <v>1.1599644509223095</v>
      </c>
      <c r="Y57" s="182">
        <f t="shared" si="214"/>
        <v>23.879142155326349</v>
      </c>
      <c r="Z57" s="182">
        <f t="shared" si="215"/>
        <v>0.16801613139660593</v>
      </c>
      <c r="AA57" s="182">
        <f t="shared" si="216"/>
        <v>0.23085708511467207</v>
      </c>
      <c r="AB57" s="182">
        <f t="shared" si="217"/>
        <v>2.242746261011777</v>
      </c>
      <c r="AC57" s="182">
        <f t="shared" si="218"/>
        <v>54.554736531426322</v>
      </c>
      <c r="AD57" s="182">
        <f t="shared" si="219"/>
        <v>0.41212075723258262</v>
      </c>
      <c r="AE57" s="182">
        <f t="shared" si="220"/>
        <v>1.1108272730687028</v>
      </c>
      <c r="AF57" s="182">
        <f t="shared" si="221"/>
        <v>1.6823434646315716</v>
      </c>
      <c r="AG57" s="182">
        <f t="shared" si="222"/>
        <v>19.874468966807989</v>
      </c>
      <c r="AH57" s="182">
        <f t="shared" si="223"/>
        <v>0.15811281741904917</v>
      </c>
      <c r="AI57" s="182">
        <f t="shared" si="224"/>
        <v>0.2960785903094002</v>
      </c>
      <c r="AJ57" s="182">
        <f t="shared" si="225"/>
        <v>1.9747860564170292</v>
      </c>
      <c r="AK57" s="182">
        <f t="shared" si="226"/>
        <v>49.462343284558642</v>
      </c>
      <c r="AL57" s="182">
        <f t="shared" si="227"/>
        <v>0.42247984767654767</v>
      </c>
      <c r="AM57" s="182">
        <f t="shared" si="228"/>
        <v>0.77465805744529115</v>
      </c>
      <c r="AN57" s="182">
        <f t="shared" si="229"/>
        <v>1.2770762188331339</v>
      </c>
      <c r="AO57" s="180">
        <f t="shared" ref="AO57:AW57" si="238">(AO42+AO72)/2</f>
        <v>5.2088576403602787</v>
      </c>
      <c r="AP57" s="180">
        <f t="shared" si="238"/>
        <v>0.32164232409617588</v>
      </c>
      <c r="AQ57" s="180">
        <f t="shared" si="238"/>
        <v>0.41778703073045687</v>
      </c>
      <c r="AR57" s="180">
        <f t="shared" si="238"/>
        <v>2.2185348508736262</v>
      </c>
      <c r="AS57" s="180">
        <f t="shared" si="238"/>
        <v>12.242585331201553</v>
      </c>
      <c r="AT57" s="180">
        <f t="shared" si="238"/>
        <v>0.66984386280035746</v>
      </c>
      <c r="AU57" s="180">
        <f t="shared" si="238"/>
        <v>1.0193413223784704</v>
      </c>
      <c r="AV57" s="180">
        <f t="shared" si="238"/>
        <v>1.5850277512501447</v>
      </c>
      <c r="AW57" s="201">
        <f t="shared" si="238"/>
        <v>0.368070610604191</v>
      </c>
      <c r="AX57" s="184" t="s">
        <v>149</v>
      </c>
    </row>
    <row r="58" spans="1:50" x14ac:dyDescent="0.2">
      <c r="A58" s="183" t="s">
        <v>150</v>
      </c>
      <c r="B58" s="180">
        <f t="shared" si="198"/>
        <v>62.927656411350455</v>
      </c>
      <c r="C58" s="180">
        <f t="shared" si="199"/>
        <v>0.45808986885612973</v>
      </c>
      <c r="D58" s="180">
        <f t="shared" si="200"/>
        <v>0.63770310139159181</v>
      </c>
      <c r="E58" s="180">
        <f t="shared" si="201"/>
        <v>3.599992818547828</v>
      </c>
      <c r="F58" s="180">
        <f t="shared" si="202"/>
        <v>129.01203007423914</v>
      </c>
      <c r="G58" s="180">
        <f t="shared" si="203"/>
        <v>1.0144540680304797</v>
      </c>
      <c r="H58" s="180">
        <f t="shared" si="204"/>
        <v>1.4465223790134607</v>
      </c>
      <c r="I58" s="180">
        <f t="shared" si="205"/>
        <v>1.3911296861029943</v>
      </c>
      <c r="J58" s="229">
        <f t="shared" si="166"/>
        <v>0.93123021657050598</v>
      </c>
      <c r="P58" s="183" t="s">
        <v>150</v>
      </c>
      <c r="Q58" s="182">
        <f t="shared" si="206"/>
        <v>62.927656411350455</v>
      </c>
      <c r="R58" s="182">
        <f t="shared" si="207"/>
        <v>0.45808986885612973</v>
      </c>
      <c r="S58" s="182">
        <f t="shared" si="208"/>
        <v>0.63770310139159181</v>
      </c>
      <c r="T58" s="182">
        <f t="shared" si="209"/>
        <v>3.599992818547828</v>
      </c>
      <c r="U58" s="182">
        <f t="shared" si="210"/>
        <v>129.01203007423914</v>
      </c>
      <c r="V58" s="182">
        <f t="shared" si="211"/>
        <v>1.0144540680304797</v>
      </c>
      <c r="W58" s="182">
        <f t="shared" si="212"/>
        <v>1.4465223790134607</v>
      </c>
      <c r="X58" s="182">
        <f t="shared" si="213"/>
        <v>1.3911296861029943</v>
      </c>
      <c r="Y58" s="182">
        <f t="shared" si="214"/>
        <v>39.650750445370285</v>
      </c>
      <c r="Z58" s="182">
        <f t="shared" si="215"/>
        <v>0.26425041557561973</v>
      </c>
      <c r="AA58" s="182">
        <f t="shared" si="216"/>
        <v>0.51914517130751658</v>
      </c>
      <c r="AB58" s="182">
        <f t="shared" si="217"/>
        <v>2.3898860471808394</v>
      </c>
      <c r="AC58" s="182">
        <f t="shared" si="218"/>
        <v>82.953015427653611</v>
      </c>
      <c r="AD58" s="182">
        <f t="shared" si="219"/>
        <v>0.52185903349059748</v>
      </c>
      <c r="AE58" s="182">
        <f t="shared" si="220"/>
        <v>1.6556562529306476</v>
      </c>
      <c r="AF58" s="182">
        <f t="shared" si="221"/>
        <v>1.6266303604316885</v>
      </c>
      <c r="AG58" s="182">
        <f t="shared" si="222"/>
        <v>60.502830869894161</v>
      </c>
      <c r="AH58" s="182">
        <f t="shared" si="223"/>
        <v>0.38400801795866785</v>
      </c>
      <c r="AI58" s="182">
        <f t="shared" si="224"/>
        <v>0.537649004271746</v>
      </c>
      <c r="AJ58" s="182">
        <f t="shared" si="225"/>
        <v>2.6137092465124274</v>
      </c>
      <c r="AK58" s="182">
        <f t="shared" si="226"/>
        <v>129.65473491281483</v>
      </c>
      <c r="AL58" s="182">
        <f t="shared" si="227"/>
        <v>0.77680093363427949</v>
      </c>
      <c r="AM58" s="182">
        <f t="shared" si="228"/>
        <v>1.2879395807328013</v>
      </c>
      <c r="AN58" s="182">
        <f t="shared" si="229"/>
        <v>1.4191337800932493</v>
      </c>
      <c r="AO58" s="180">
        <f t="shared" ref="AO58:AW58" si="239">(AO43+AO73)/2</f>
        <v>15.857059293830774</v>
      </c>
      <c r="AP58" s="180">
        <f t="shared" si="239"/>
        <v>0.38727582291312201</v>
      </c>
      <c r="AQ58" s="180">
        <f t="shared" si="239"/>
        <v>0.65595053240860457</v>
      </c>
      <c r="AR58" s="180">
        <f t="shared" si="239"/>
        <v>2.0617669088383899</v>
      </c>
      <c r="AS58" s="180">
        <f t="shared" si="239"/>
        <v>23.260122599032442</v>
      </c>
      <c r="AT58" s="180">
        <f t="shared" si="239"/>
        <v>0.72051674772937524</v>
      </c>
      <c r="AU58" s="180">
        <f t="shared" si="239"/>
        <v>1.2483261505989596</v>
      </c>
      <c r="AV58" s="180">
        <f t="shared" si="239"/>
        <v>1.4043617672645128</v>
      </c>
      <c r="AW58" s="201">
        <f t="shared" si="239"/>
        <v>0.93123021657050598</v>
      </c>
      <c r="AX58" s="183" t="s">
        <v>150</v>
      </c>
    </row>
    <row r="59" spans="1:50" x14ac:dyDescent="0.2">
      <c r="A59" s="184" t="s">
        <v>151</v>
      </c>
      <c r="B59" s="180">
        <f t="shared" si="198"/>
        <v>63.285153040116462</v>
      </c>
      <c r="C59" s="180">
        <f t="shared" si="199"/>
        <v>0.45871451838284505</v>
      </c>
      <c r="D59" s="180">
        <f t="shared" si="200"/>
        <v>0.63798297593811204</v>
      </c>
      <c r="E59" s="180">
        <f t="shared" si="201"/>
        <v>3.5830619476220167</v>
      </c>
      <c r="F59" s="180">
        <f t="shared" si="202"/>
        <v>118.73763233487861</v>
      </c>
      <c r="G59" s="180">
        <f t="shared" si="203"/>
        <v>1.0093407344087204</v>
      </c>
      <c r="H59" s="180">
        <f t="shared" si="204"/>
        <v>1.4418137153405477</v>
      </c>
      <c r="I59" s="180">
        <f t="shared" si="205"/>
        <v>1.3853195482262641</v>
      </c>
      <c r="J59" s="229">
        <f t="shared" si="166"/>
        <v>0.90215775013754496</v>
      </c>
      <c r="P59" s="184" t="s">
        <v>151</v>
      </c>
      <c r="Q59" s="182">
        <f>Q74*AO59/AO74</f>
        <v>63.285153040116462</v>
      </c>
      <c r="R59" s="182">
        <f t="shared" si="207"/>
        <v>0.45871451838284505</v>
      </c>
      <c r="S59" s="182">
        <f t="shared" si="208"/>
        <v>0.63798297593811204</v>
      </c>
      <c r="T59" s="182">
        <f t="shared" si="209"/>
        <v>3.5830619476220167</v>
      </c>
      <c r="U59" s="182">
        <f t="shared" si="210"/>
        <v>118.73763233487861</v>
      </c>
      <c r="V59" s="182">
        <f t="shared" si="211"/>
        <v>1.0093407344087204</v>
      </c>
      <c r="W59" s="182">
        <f t="shared" si="212"/>
        <v>1.4418137153405477</v>
      </c>
      <c r="X59" s="182">
        <f t="shared" si="213"/>
        <v>1.3853195482262641</v>
      </c>
      <c r="Y59" s="182">
        <f>Y74*AO59/AO74</f>
        <v>37.198580178303359</v>
      </c>
      <c r="Z59" s="182">
        <f t="shared" si="215"/>
        <v>0.2468437601243274</v>
      </c>
      <c r="AA59" s="182">
        <f t="shared" si="216"/>
        <v>0.5089525663412986</v>
      </c>
      <c r="AB59" s="182">
        <f t="shared" si="217"/>
        <v>2.3237982884533928</v>
      </c>
      <c r="AC59" s="182">
        <f t="shared" si="218"/>
        <v>73.365263949701657</v>
      </c>
      <c r="AD59" s="182">
        <f t="shared" si="219"/>
        <v>0.49895197873379549</v>
      </c>
      <c r="AE59" s="182">
        <f t="shared" si="220"/>
        <v>1.5830147803309707</v>
      </c>
      <c r="AF59" s="182">
        <f t="shared" si="221"/>
        <v>1.6084654468903832</v>
      </c>
      <c r="AG59" s="182">
        <f>AG74*AO59/AO74</f>
        <v>20.294703814159632</v>
      </c>
      <c r="AH59" s="182">
        <f t="shared" si="223"/>
        <v>0.38453164976757848</v>
      </c>
      <c r="AI59" s="182">
        <f t="shared" si="224"/>
        <v>0.53788496716878886</v>
      </c>
      <c r="AJ59" s="182">
        <f t="shared" si="225"/>
        <v>2.6014168959104191</v>
      </c>
      <c r="AK59" s="182">
        <f t="shared" si="226"/>
        <v>39.80093754774154</v>
      </c>
      <c r="AL59" s="182">
        <f t="shared" si="227"/>
        <v>0.77288548545723412</v>
      </c>
      <c r="AM59" s="182">
        <f t="shared" si="228"/>
        <v>1.2837471296482632</v>
      </c>
      <c r="AN59" s="182">
        <f t="shared" si="229"/>
        <v>1.4132066814120581</v>
      </c>
      <c r="AO59" s="180">
        <f t="shared" ref="AO59:AW59" si="240">(AO44+AO74)/2</f>
        <v>5.3189961048912799</v>
      </c>
      <c r="AP59" s="180">
        <f t="shared" si="240"/>
        <v>0.37866159199817689</v>
      </c>
      <c r="AQ59" s="180">
        <f t="shared" si="240"/>
        <v>0.65057629191303235</v>
      </c>
      <c r="AR59" s="180">
        <f t="shared" si="240"/>
        <v>2.0693819162746272</v>
      </c>
      <c r="AS59" s="180">
        <f t="shared" si="240"/>
        <v>12.774460483820011</v>
      </c>
      <c r="AT59" s="180">
        <f t="shared" si="240"/>
        <v>0.72656632100160312</v>
      </c>
      <c r="AU59" s="180">
        <f t="shared" si="240"/>
        <v>1.2417843436631255</v>
      </c>
      <c r="AV59" s="180">
        <f t="shared" si="240"/>
        <v>1.4053622186183929</v>
      </c>
      <c r="AW59" s="201">
        <f t="shared" si="240"/>
        <v>0.90215775013754496</v>
      </c>
      <c r="AX59" s="184" t="s">
        <v>151</v>
      </c>
    </row>
    <row r="61" spans="1:50" x14ac:dyDescent="0.2">
      <c r="A61" s="192"/>
      <c r="B61" s="194" t="s">
        <v>120</v>
      </c>
      <c r="C61" s="192"/>
      <c r="D61" s="192"/>
      <c r="E61" s="192"/>
      <c r="F61" s="192"/>
      <c r="G61" s="192"/>
      <c r="H61" s="192"/>
      <c r="I61" s="192"/>
      <c r="Q61" s="194" t="s">
        <v>120</v>
      </c>
      <c r="Y61" s="194" t="s">
        <v>120</v>
      </c>
      <c r="AG61" s="194" t="s">
        <v>120</v>
      </c>
      <c r="AO61" s="194" t="s">
        <v>120</v>
      </c>
    </row>
    <row r="62" spans="1:50" x14ac:dyDescent="0.2">
      <c r="A62" s="192"/>
      <c r="B62" s="185" t="s">
        <v>133</v>
      </c>
      <c r="C62" s="185" t="s">
        <v>134</v>
      </c>
      <c r="D62" s="185" t="s">
        <v>135</v>
      </c>
      <c r="E62" s="185" t="s">
        <v>139</v>
      </c>
      <c r="F62" s="185" t="s">
        <v>136</v>
      </c>
      <c r="G62" s="185" t="s">
        <v>137</v>
      </c>
      <c r="H62" s="185" t="s">
        <v>138</v>
      </c>
      <c r="I62" s="186" t="s">
        <v>160</v>
      </c>
      <c r="J62" s="185" t="s">
        <v>183</v>
      </c>
      <c r="Q62" s="185" t="s">
        <v>133</v>
      </c>
      <c r="R62" s="185" t="s">
        <v>134</v>
      </c>
      <c r="S62" s="185" t="s">
        <v>135</v>
      </c>
      <c r="T62" s="185" t="s">
        <v>139</v>
      </c>
      <c r="U62" s="185" t="s">
        <v>136</v>
      </c>
      <c r="V62" s="185" t="s">
        <v>137</v>
      </c>
      <c r="W62" s="185" t="s">
        <v>138</v>
      </c>
      <c r="X62" s="186" t="s">
        <v>160</v>
      </c>
      <c r="Y62" s="185" t="s">
        <v>133</v>
      </c>
      <c r="Z62" s="185" t="s">
        <v>134</v>
      </c>
      <c r="AA62" s="185" t="s">
        <v>135</v>
      </c>
      <c r="AB62" s="185" t="s">
        <v>139</v>
      </c>
      <c r="AC62" s="185" t="s">
        <v>136</v>
      </c>
      <c r="AD62" s="185" t="s">
        <v>137</v>
      </c>
      <c r="AE62" s="185" t="s">
        <v>138</v>
      </c>
      <c r="AF62" s="186" t="s">
        <v>160</v>
      </c>
      <c r="AG62" s="185" t="s">
        <v>133</v>
      </c>
      <c r="AH62" s="185" t="s">
        <v>134</v>
      </c>
      <c r="AI62" s="185" t="s">
        <v>135</v>
      </c>
      <c r="AJ62" s="185" t="s">
        <v>139</v>
      </c>
      <c r="AK62" s="185" t="s">
        <v>136</v>
      </c>
      <c r="AL62" s="185" t="s">
        <v>137</v>
      </c>
      <c r="AM62" s="185" t="s">
        <v>138</v>
      </c>
      <c r="AN62" s="186" t="s">
        <v>160</v>
      </c>
      <c r="AO62" s="185" t="s">
        <v>133</v>
      </c>
      <c r="AP62" s="185" t="s">
        <v>134</v>
      </c>
      <c r="AQ62" s="185" t="s">
        <v>135</v>
      </c>
      <c r="AR62" s="185" t="s">
        <v>139</v>
      </c>
      <c r="AS62" s="185" t="s">
        <v>136</v>
      </c>
      <c r="AT62" s="185" t="s">
        <v>137</v>
      </c>
      <c r="AU62" s="185" t="s">
        <v>138</v>
      </c>
      <c r="AV62" s="186" t="s">
        <v>160</v>
      </c>
    </row>
    <row r="63" spans="1:50" x14ac:dyDescent="0.2">
      <c r="A63" s="183" t="s">
        <v>140</v>
      </c>
      <c r="B63" s="179">
        <f>(B64+B65+B66+B67)/4</f>
        <v>68.210475000000002</v>
      </c>
      <c r="C63" s="179">
        <f t="shared" ref="C63:I63" si="241">(C64+C65+C66+C67)/4</f>
        <v>0.42749999999999999</v>
      </c>
      <c r="D63" s="179">
        <f t="shared" si="241"/>
        <v>0.52500000000000002</v>
      </c>
      <c r="E63" s="179">
        <f t="shared" si="241"/>
        <v>4.6041833443072608</v>
      </c>
      <c r="F63" s="179">
        <f t="shared" si="241"/>
        <v>151.79544999999999</v>
      </c>
      <c r="G63" s="179">
        <f t="shared" si="241"/>
        <v>1.2050000000000001</v>
      </c>
      <c r="H63" s="179">
        <f t="shared" si="241"/>
        <v>1.6600000000000001</v>
      </c>
      <c r="I63" s="179">
        <f t="shared" si="241"/>
        <v>1.7445218142702652</v>
      </c>
      <c r="J63" s="229">
        <f t="shared" ref="J63:J74" si="242">AW63</f>
        <v>0.99999098479747772</v>
      </c>
      <c r="O63" s="225">
        <f>AO63*M$7/O$2</f>
        <v>24.700194890566809</v>
      </c>
      <c r="P63" s="183" t="s">
        <v>140</v>
      </c>
      <c r="Q63" s="216">
        <f>AVERAGE(Q64:Q67)</f>
        <v>68.210475000000002</v>
      </c>
      <c r="R63" s="216">
        <f t="shared" ref="R63" si="243">AVERAGE(R64:R67)</f>
        <v>0.42749999999999999</v>
      </c>
      <c r="S63" s="216">
        <f t="shared" ref="S63" si="244">AVERAGE(S64:S67)</f>
        <v>0.52500000000000002</v>
      </c>
      <c r="T63" s="216">
        <f t="shared" ref="T63" si="245">AVERAGE(T64:T67)</f>
        <v>4.6041833443072608</v>
      </c>
      <c r="U63" s="216">
        <f t="shared" ref="U63" si="246">AVERAGE(U64:U67)</f>
        <v>151.79544999999999</v>
      </c>
      <c r="V63" s="216">
        <f t="shared" ref="V63" si="247">AVERAGE(V64:V67)</f>
        <v>1.2050000000000001</v>
      </c>
      <c r="W63" s="216">
        <f t="shared" ref="W63" si="248">AVERAGE(W64:W67)</f>
        <v>1.6600000000000001</v>
      </c>
      <c r="X63" s="216">
        <f t="shared" ref="X63" si="249">AVERAGE(X64:X67)</f>
        <v>1.7445218142702652</v>
      </c>
      <c r="Y63" s="179">
        <f t="shared" ref="Y63" si="250">AVERAGE(Y64:Y67)</f>
        <v>22.509509653698224</v>
      </c>
      <c r="Z63" s="179">
        <f t="shared" ref="Z63" si="251">AVERAGE(Z64:Z67)</f>
        <v>0.15607172755255319</v>
      </c>
      <c r="AA63" s="179">
        <f t="shared" ref="AA63" si="252">AVERAGE(AA64:AA67)</f>
        <v>0.39564854794565729</v>
      </c>
      <c r="AB63" s="179">
        <f t="shared" ref="AB63" si="253">AVERAGE(AB64:AB67)</f>
        <v>2.8823505195275336</v>
      </c>
      <c r="AC63" s="179">
        <f t="shared" ref="AC63" si="254">AVERAGE(AC64:AC67)</f>
        <v>73.170077878138301</v>
      </c>
      <c r="AD63" s="179">
        <f t="shared" ref="AD63" si="255">AVERAGE(AD64:AD67)</f>
        <v>0.50733137395197214</v>
      </c>
      <c r="AE63" s="179">
        <f t="shared" ref="AE63" si="256">AVERAGE(AE64:AE67)</f>
        <v>1.7664845189942575</v>
      </c>
      <c r="AF63" s="179">
        <f t="shared" ref="AF63" si="257">AVERAGE(AF64:AF67)</f>
        <v>1.923520627692386</v>
      </c>
      <c r="AG63" s="216">
        <f t="shared" ref="AG63:AH63" si="258">AVERAGE(AG64:AG67)</f>
        <v>52.138443918563532</v>
      </c>
      <c r="AH63" s="216">
        <f t="shared" si="258"/>
        <v>0.24536302995939005</v>
      </c>
      <c r="AI63" s="216">
        <f t="shared" ref="AI63" si="259">AVERAGE(AI64:AI67)</f>
        <v>0.44780215087181852</v>
      </c>
      <c r="AJ63" s="216">
        <f t="shared" ref="AJ63" si="260">AVERAGE(AJ64:AJ67)</f>
        <v>3.0252714134003273</v>
      </c>
      <c r="AK63" s="179">
        <f t="shared" ref="AK63" si="261">AVERAGE(AK64:AK67)</f>
        <v>157.03534592050664</v>
      </c>
      <c r="AL63" s="216">
        <f t="shared" ref="AL63" si="262">AVERAGE(AL64:AL67)</f>
        <v>0.73900687074509852</v>
      </c>
      <c r="AM63" s="216">
        <f t="shared" ref="AM63" si="263">AVERAGE(AM64:AM67)</f>
        <v>1.3714321687354996</v>
      </c>
      <c r="AN63" s="216">
        <f t="shared" ref="AN63" si="264">AVERAGE(AN64:AN67)</f>
        <v>1.6281586375639425</v>
      </c>
      <c r="AO63" s="179">
        <f t="shared" ref="AO63" si="265">AVERAGE(AO64:AO67)</f>
        <v>13.664854764938354</v>
      </c>
      <c r="AP63" s="179">
        <f t="shared" ref="AP63" si="266">AVERAGE(AP64:AP67)</f>
        <v>0.33487376850098372</v>
      </c>
      <c r="AQ63" s="179">
        <f t="shared" ref="AQ63" si="267">AVERAGE(AQ64:AQ67)</f>
        <v>0.53378108143806458</v>
      </c>
      <c r="AR63" s="179">
        <f t="shared" ref="AR63" si="268">AVERAGE(AR64:AR67)</f>
        <v>2.724849060177803</v>
      </c>
      <c r="AS63" s="179">
        <f t="shared" ref="AS63" si="269">AVERAGE(AS64:AS67)</f>
        <v>24.228321194648743</v>
      </c>
      <c r="AT63" s="179">
        <f t="shared" ref="AT63" si="270">AVERAGE(AT64:AT67)</f>
        <v>0.84908251836895943</v>
      </c>
      <c r="AU63" s="179">
        <f t="shared" ref="AU63" si="271">AVERAGE(AU64:AU67)</f>
        <v>1.4244643226265907</v>
      </c>
      <c r="AV63" s="179">
        <f t="shared" ref="AV63" si="272">AVERAGE(AV64:AV67)</f>
        <v>1.7685869634151459</v>
      </c>
      <c r="AW63" s="230">
        <f>AVERAGE(AW64:AW67)</f>
        <v>0.99999098479747772</v>
      </c>
      <c r="AX63" s="183" t="s">
        <v>140</v>
      </c>
    </row>
    <row r="64" spans="1:50" x14ac:dyDescent="0.2">
      <c r="A64" s="184" t="s">
        <v>141</v>
      </c>
      <c r="B64" s="180">
        <f t="shared" ref="B64:B74" si="273">IF($O$1=1,Q64,IF($O$1=2,Y64,AG64))</f>
        <v>61.5931</v>
      </c>
      <c r="C64" s="180">
        <f t="shared" ref="C64:C74" si="274">IF($O$1=1,R64,IF($O$1=2,Z64,AH64))</f>
        <v>0.45</v>
      </c>
      <c r="D64" s="180">
        <f t="shared" ref="D64:D74" si="275">IF($O$1=1,S64,IF($O$1=2,AA64,AI64))</f>
        <v>0.57999999999999996</v>
      </c>
      <c r="E64" s="180">
        <f t="shared" ref="E64:E74" si="276">IF($O$1=1,T64,IF($O$1=2,AB64,AJ64))</f>
        <v>4.5023575617897995</v>
      </c>
      <c r="F64" s="180">
        <f t="shared" ref="F64:F74" si="277">IF($O$1=1,U64,IF($O$1=2,AC64,AK64))</f>
        <v>145.69319999999999</v>
      </c>
      <c r="G64" s="180">
        <f t="shared" ref="G64:G74" si="278">IF($O$1=1,V64,IF($O$1=2,AD64,AL64))</f>
        <v>1.21</v>
      </c>
      <c r="H64" s="180">
        <f t="shared" ref="H64:H74" si="279">IF($O$1=1,W64,IF($O$1=2,AE64,AM64))</f>
        <v>1.7</v>
      </c>
      <c r="I64" s="180">
        <f t="shared" ref="I64:I74" si="280">IF($O$1=1,X64,IF($O$1=2,AF64,AN64))</f>
        <v>1.6240626631385127</v>
      </c>
      <c r="J64" s="229">
        <f t="shared" si="242"/>
        <v>0.99999994039535522</v>
      </c>
      <c r="O64" s="225">
        <f t="shared" ref="O64:O74" si="281">AO64*M$7/O$2</f>
        <v>17.647352540530619</v>
      </c>
      <c r="P64" s="184" t="s">
        <v>141</v>
      </c>
      <c r="Q64" s="217">
        <f>Q78*$O$2</f>
        <v>61.5931</v>
      </c>
      <c r="R64" s="217">
        <f t="shared" ref="R64:X64" si="282">R78</f>
        <v>0.45</v>
      </c>
      <c r="S64" s="217">
        <f t="shared" si="282"/>
        <v>0.57999999999999996</v>
      </c>
      <c r="T64" s="217">
        <f t="shared" si="282"/>
        <v>4.5023575617897995</v>
      </c>
      <c r="U64" s="217">
        <f>U78*$O$2</f>
        <v>145.69319999999999</v>
      </c>
      <c r="V64" s="217">
        <f t="shared" si="282"/>
        <v>1.21</v>
      </c>
      <c r="W64" s="217">
        <f t="shared" si="282"/>
        <v>1.7</v>
      </c>
      <c r="X64" s="217">
        <f t="shared" si="282"/>
        <v>1.6240626631385127</v>
      </c>
      <c r="Y64" s="180">
        <f>Y91*O$3</f>
        <v>23.865574519080489</v>
      </c>
      <c r="Z64" s="180">
        <f t="shared" ref="Z64:AF64" si="283">Z91</f>
        <v>0.16547412633731562</v>
      </c>
      <c r="AA64" s="180">
        <f t="shared" si="283"/>
        <v>0.38891638383970589</v>
      </c>
      <c r="AB64" s="180">
        <f t="shared" si="283"/>
        <v>2.92966318031631</v>
      </c>
      <c r="AC64" s="180">
        <f>AC91*O$3</f>
        <v>75.132297202185271</v>
      </c>
      <c r="AD64" s="180">
        <f t="shared" si="283"/>
        <v>0.52093659967445682</v>
      </c>
      <c r="AE64" s="180">
        <f t="shared" si="283"/>
        <v>1.7948212191570398</v>
      </c>
      <c r="AF64" s="180">
        <f t="shared" si="283"/>
        <v>1.9488217747629861</v>
      </c>
      <c r="AG64" s="179">
        <f>AH64*AI$91*AJ$91</f>
        <v>51.020346537472342</v>
      </c>
      <c r="AH64" s="217">
        <f>AH78</f>
        <v>0.24010127413018476</v>
      </c>
      <c r="AI64" s="217">
        <f t="shared" ref="AI64:AM64" si="284">AI78</f>
        <v>0.43074785951556527</v>
      </c>
      <c r="AJ64" s="217">
        <f>AJ78</f>
        <v>3.3256875508136372</v>
      </c>
      <c r="AK64" s="179">
        <f>AG64*AL64/AH64</f>
        <v>172.60765857323253</v>
      </c>
      <c r="AL64" s="217">
        <f t="shared" si="284"/>
        <v>0.81229002859913213</v>
      </c>
      <c r="AM64" s="217">
        <f t="shared" si="284"/>
        <v>1.5057468704455914</v>
      </c>
      <c r="AN64" s="217">
        <f>AN78</f>
        <v>1.7848245978347974</v>
      </c>
      <c r="AO64" s="203">
        <v>9.7630205154418945</v>
      </c>
      <c r="AP64" s="203">
        <v>0.34367405250668526</v>
      </c>
      <c r="AQ64" s="203">
        <v>0.62678956985473633</v>
      </c>
      <c r="AR64" s="203">
        <v>2.5432243943214417</v>
      </c>
      <c r="AS64" s="203">
        <v>19.555551052093506</v>
      </c>
      <c r="AT64" s="203">
        <v>0.82208581268787384</v>
      </c>
      <c r="AU64" s="203">
        <v>1.4394521713256836</v>
      </c>
      <c r="AV64" s="203">
        <v>1.617684006690979</v>
      </c>
      <c r="AW64" s="204">
        <v>0.99999994039535522</v>
      </c>
      <c r="AX64" s="184" t="s">
        <v>141</v>
      </c>
    </row>
    <row r="65" spans="1:50" x14ac:dyDescent="0.2">
      <c r="A65" s="183" t="s">
        <v>142</v>
      </c>
      <c r="B65" s="180">
        <f t="shared" si="273"/>
        <v>76.7774</v>
      </c>
      <c r="C65" s="180">
        <f t="shared" si="274"/>
        <v>0.41</v>
      </c>
      <c r="D65" s="180">
        <f t="shared" si="275"/>
        <v>0.5</v>
      </c>
      <c r="E65" s="180">
        <f t="shared" si="276"/>
        <v>4.6303107675040573</v>
      </c>
      <c r="F65" s="180">
        <f t="shared" si="277"/>
        <v>165.53739999999999</v>
      </c>
      <c r="G65" s="180">
        <f t="shared" si="278"/>
        <v>1.2</v>
      </c>
      <c r="H65" s="180">
        <f t="shared" si="279"/>
        <v>1.64</v>
      </c>
      <c r="I65" s="180">
        <f t="shared" si="280"/>
        <v>1.7908186950581784</v>
      </c>
      <c r="J65" s="229">
        <f t="shared" si="242"/>
        <v>0.99996399879455566</v>
      </c>
      <c r="O65" s="225">
        <f t="shared" si="281"/>
        <v>31.976086709777643</v>
      </c>
      <c r="P65" s="183" t="s">
        <v>142</v>
      </c>
      <c r="Q65" s="217">
        <f>Q79*$O$2</f>
        <v>76.7774</v>
      </c>
      <c r="R65" s="217">
        <f t="shared" ref="R65:X67" si="285">R79</f>
        <v>0.41</v>
      </c>
      <c r="S65" s="217">
        <f t="shared" si="285"/>
        <v>0.5</v>
      </c>
      <c r="T65" s="217">
        <f t="shared" si="285"/>
        <v>4.6303107675040573</v>
      </c>
      <c r="U65" s="217">
        <f>U79*$O$2</f>
        <v>165.53739999999999</v>
      </c>
      <c r="V65" s="217">
        <f t="shared" si="285"/>
        <v>1.2</v>
      </c>
      <c r="W65" s="217">
        <f t="shared" si="285"/>
        <v>1.64</v>
      </c>
      <c r="X65" s="217">
        <f t="shared" si="285"/>
        <v>1.7908186950581784</v>
      </c>
      <c r="Y65" s="180">
        <f t="shared" ref="Y65:Y74" si="286">Y92*O$3</f>
        <v>23.865574519080489</v>
      </c>
      <c r="Z65" s="180">
        <f t="shared" ref="Z65:AF74" si="287">Z92</f>
        <v>0.16547412633731562</v>
      </c>
      <c r="AA65" s="180">
        <f t="shared" si="287"/>
        <v>0.38891638383970589</v>
      </c>
      <c r="AB65" s="180">
        <f t="shared" si="287"/>
        <v>2.92966318031631</v>
      </c>
      <c r="AC65" s="180">
        <f t="shared" ref="AC65:AC74" si="288">AC92*O$3</f>
        <v>75.132297202185271</v>
      </c>
      <c r="AD65" s="180">
        <f t="shared" si="287"/>
        <v>0.52093659967445682</v>
      </c>
      <c r="AE65" s="180">
        <f t="shared" si="287"/>
        <v>1.7948212191570398</v>
      </c>
      <c r="AF65" s="180">
        <f t="shared" si="287"/>
        <v>1.9488217747629861</v>
      </c>
      <c r="AG65" s="179">
        <f t="shared" ref="AG65:AG67" si="289">AH65*AI$91*AJ$91</f>
        <v>51.020346537472342</v>
      </c>
      <c r="AH65" s="217">
        <f t="shared" ref="AH65:AJ65" si="290">AH79</f>
        <v>0.24010127413018476</v>
      </c>
      <c r="AI65" s="217">
        <f t="shared" si="290"/>
        <v>0.43074785951556527</v>
      </c>
      <c r="AJ65" s="217">
        <f t="shared" si="290"/>
        <v>3.3256875508136372</v>
      </c>
      <c r="AK65" s="179">
        <f>AG65*AL65/AH65</f>
        <v>172.60765857323253</v>
      </c>
      <c r="AL65" s="217">
        <f t="shared" ref="AL65:AN65" si="291">AL79</f>
        <v>0.81229002859913213</v>
      </c>
      <c r="AM65" s="217">
        <f t="shared" si="291"/>
        <v>1.5057468704455914</v>
      </c>
      <c r="AN65" s="217">
        <f t="shared" si="291"/>
        <v>1.7848245978347974</v>
      </c>
      <c r="AO65" s="203">
        <v>17.690086364746094</v>
      </c>
      <c r="AP65" s="203">
        <v>0.34494280070066452</v>
      </c>
      <c r="AQ65" s="203">
        <v>0.50980633497238159</v>
      </c>
      <c r="AR65" s="203">
        <v>2.8575388789176941</v>
      </c>
      <c r="AS65" s="203">
        <v>28.57564640045166</v>
      </c>
      <c r="AT65" s="203">
        <v>0.87028753757476807</v>
      </c>
      <c r="AU65" s="203">
        <v>1.4385588765144348</v>
      </c>
      <c r="AV65" s="203">
        <v>1.8772534132003784</v>
      </c>
      <c r="AW65" s="204">
        <v>0.99996399879455566</v>
      </c>
      <c r="AX65" s="183" t="s">
        <v>142</v>
      </c>
    </row>
    <row r="66" spans="1:50" x14ac:dyDescent="0.2">
      <c r="A66" s="184" t="s">
        <v>143</v>
      </c>
      <c r="B66" s="180">
        <f t="shared" si="273"/>
        <v>94.307500000000005</v>
      </c>
      <c r="C66" s="180">
        <f t="shared" si="274"/>
        <v>0.5</v>
      </c>
      <c r="D66" s="180">
        <f t="shared" si="275"/>
        <v>0.56999999999999995</v>
      </c>
      <c r="E66" s="180">
        <f t="shared" si="276"/>
        <v>4.7067133559843102</v>
      </c>
      <c r="F66" s="180">
        <f t="shared" si="277"/>
        <v>178.85140000000001</v>
      </c>
      <c r="G66" s="180">
        <f t="shared" si="278"/>
        <v>1.31</v>
      </c>
      <c r="H66" s="180">
        <f t="shared" si="279"/>
        <v>1.78</v>
      </c>
      <c r="I66" s="180">
        <f t="shared" si="280"/>
        <v>1.5925464033794896</v>
      </c>
      <c r="J66" s="229">
        <f t="shared" si="242"/>
        <v>1</v>
      </c>
      <c r="O66" s="225">
        <f t="shared" si="281"/>
        <v>14.931233120265444</v>
      </c>
      <c r="P66" s="184" t="s">
        <v>143</v>
      </c>
      <c r="Q66" s="217">
        <f>Q80*$O$2</f>
        <v>94.307500000000005</v>
      </c>
      <c r="R66" s="217">
        <f t="shared" si="285"/>
        <v>0.5</v>
      </c>
      <c r="S66" s="217">
        <f t="shared" si="285"/>
        <v>0.56999999999999995</v>
      </c>
      <c r="T66" s="217">
        <f t="shared" si="285"/>
        <v>4.7067133559843102</v>
      </c>
      <c r="U66" s="217">
        <f>U80*$O$2</f>
        <v>178.85140000000001</v>
      </c>
      <c r="V66" s="217">
        <f t="shared" si="285"/>
        <v>1.31</v>
      </c>
      <c r="W66" s="217">
        <f t="shared" si="285"/>
        <v>1.78</v>
      </c>
      <c r="X66" s="217">
        <f t="shared" si="285"/>
        <v>1.5925464033794896</v>
      </c>
      <c r="Y66" s="180">
        <f t="shared" si="286"/>
        <v>20.74905379348845</v>
      </c>
      <c r="Z66" s="180">
        <f t="shared" si="287"/>
        <v>0.1438654471133072</v>
      </c>
      <c r="AA66" s="180">
        <f t="shared" si="287"/>
        <v>0.27380869027760985</v>
      </c>
      <c r="AB66" s="180">
        <f t="shared" si="287"/>
        <v>3.0090366086268747</v>
      </c>
      <c r="AC66" s="180">
        <f t="shared" si="288"/>
        <v>76.736919299459288</v>
      </c>
      <c r="AD66" s="180">
        <f t="shared" si="287"/>
        <v>0.53206239257903098</v>
      </c>
      <c r="AE66" s="180">
        <f t="shared" si="287"/>
        <v>1.6076950097148757</v>
      </c>
      <c r="AF66" s="180">
        <f t="shared" si="287"/>
        <v>2.0889915618331036</v>
      </c>
      <c r="AG66" s="179">
        <f t="shared" si="289"/>
        <v>52.511143045593933</v>
      </c>
      <c r="AH66" s="217">
        <f t="shared" ref="AH66:AJ66" si="292">AH80</f>
        <v>0.24711694856912514</v>
      </c>
      <c r="AI66" s="217">
        <f t="shared" si="292"/>
        <v>0.45348691465723623</v>
      </c>
      <c r="AJ66" s="217">
        <f t="shared" si="292"/>
        <v>2.9251327009292236</v>
      </c>
      <c r="AK66" s="179">
        <f t="shared" ref="AK66:AK74" si="293">AG66*AL66/AH66</f>
        <v>151.8445750362647</v>
      </c>
      <c r="AL66" s="217">
        <f t="shared" ref="AL66:AN66" si="294">AL80</f>
        <v>0.71457915146042073</v>
      </c>
      <c r="AM66" s="217">
        <f t="shared" si="294"/>
        <v>1.3266606014988023</v>
      </c>
      <c r="AN66" s="217">
        <f t="shared" si="294"/>
        <v>1.575936650806991</v>
      </c>
      <c r="AO66" s="203">
        <v>8.2603855133056641</v>
      </c>
      <c r="AP66" s="203">
        <v>0.20922369789332151</v>
      </c>
      <c r="AQ66" s="203">
        <v>0.36818170547485352</v>
      </c>
      <c r="AR66" s="203">
        <v>2.9003053307533264</v>
      </c>
      <c r="AS66" s="203">
        <v>20.254954814910889</v>
      </c>
      <c r="AT66" s="203">
        <v>0.78915674984455109</v>
      </c>
      <c r="AU66" s="203">
        <v>1.3836731016635895</v>
      </c>
      <c r="AV66" s="203">
        <v>2.0119898319244385</v>
      </c>
      <c r="AW66" s="204">
        <v>1</v>
      </c>
      <c r="AX66" s="184" t="s">
        <v>143</v>
      </c>
    </row>
    <row r="67" spans="1:50" x14ac:dyDescent="0.2">
      <c r="A67" s="183" t="s">
        <v>144</v>
      </c>
      <c r="B67" s="180">
        <f t="shared" si="273"/>
        <v>40.163899999999998</v>
      </c>
      <c r="C67" s="180">
        <f t="shared" si="274"/>
        <v>0.35</v>
      </c>
      <c r="D67" s="180">
        <f t="shared" si="275"/>
        <v>0.45</v>
      </c>
      <c r="E67" s="180">
        <f t="shared" si="276"/>
        <v>4.5773516919508754</v>
      </c>
      <c r="F67" s="180">
        <f t="shared" si="277"/>
        <v>117.09979999999999</v>
      </c>
      <c r="G67" s="180">
        <f t="shared" si="278"/>
        <v>1.1000000000000001</v>
      </c>
      <c r="H67" s="180">
        <f t="shared" si="279"/>
        <v>1.52</v>
      </c>
      <c r="I67" s="180">
        <f t="shared" si="280"/>
        <v>1.9706594955048802</v>
      </c>
      <c r="J67" s="229">
        <f t="shared" si="242"/>
        <v>1</v>
      </c>
      <c r="O67" s="225">
        <f t="shared" si="281"/>
        <v>34.246107191693518</v>
      </c>
      <c r="P67" s="183" t="s">
        <v>144</v>
      </c>
      <c r="Q67" s="217">
        <f>Q81*$O$2</f>
        <v>40.163899999999998</v>
      </c>
      <c r="R67" s="217">
        <f t="shared" si="285"/>
        <v>0.35</v>
      </c>
      <c r="S67" s="217">
        <f t="shared" si="285"/>
        <v>0.45</v>
      </c>
      <c r="T67" s="217">
        <f t="shared" si="285"/>
        <v>4.5773516919508754</v>
      </c>
      <c r="U67" s="217">
        <f>U81*$O$2</f>
        <v>117.09979999999999</v>
      </c>
      <c r="V67" s="217">
        <f t="shared" si="285"/>
        <v>1.1000000000000001</v>
      </c>
      <c r="W67" s="217">
        <f t="shared" si="285"/>
        <v>1.52</v>
      </c>
      <c r="X67" s="217">
        <f t="shared" si="285"/>
        <v>1.9706594955048802</v>
      </c>
      <c r="Y67" s="180">
        <f t="shared" si="286"/>
        <v>21.557835783143474</v>
      </c>
      <c r="Z67" s="180">
        <f t="shared" si="287"/>
        <v>0.14947321042227435</v>
      </c>
      <c r="AA67" s="180">
        <f t="shared" si="287"/>
        <v>0.53095273382560759</v>
      </c>
      <c r="AB67" s="180">
        <f t="shared" si="287"/>
        <v>2.6610391088506389</v>
      </c>
      <c r="AC67" s="180">
        <f t="shared" si="288"/>
        <v>65.678797808723388</v>
      </c>
      <c r="AD67" s="180">
        <f t="shared" si="287"/>
        <v>0.45538990387994388</v>
      </c>
      <c r="AE67" s="180">
        <f t="shared" si="287"/>
        <v>1.8686006279480745</v>
      </c>
      <c r="AF67" s="180">
        <f t="shared" si="287"/>
        <v>1.7074473994104677</v>
      </c>
      <c r="AG67" s="179">
        <f t="shared" si="289"/>
        <v>54.001939553715516</v>
      </c>
      <c r="AH67" s="217">
        <f t="shared" ref="AH67:AJ67" si="295">AH81</f>
        <v>0.25413262300806549</v>
      </c>
      <c r="AI67" s="217">
        <f t="shared" si="295"/>
        <v>0.47622596979890724</v>
      </c>
      <c r="AJ67" s="217">
        <f t="shared" si="295"/>
        <v>2.5245778510448105</v>
      </c>
      <c r="AK67" s="179">
        <f t="shared" si="293"/>
        <v>131.08149149929685</v>
      </c>
      <c r="AL67" s="217">
        <f t="shared" ref="AL67:AN67" si="296">AL81</f>
        <v>0.61686827432170932</v>
      </c>
      <c r="AM67" s="217">
        <f t="shared" si="296"/>
        <v>1.1475743325520134</v>
      </c>
      <c r="AN67" s="217">
        <f t="shared" si="296"/>
        <v>1.3670487037791845</v>
      </c>
      <c r="AO67" s="203">
        <v>18.945926666259766</v>
      </c>
      <c r="AP67" s="203">
        <v>0.44165452290326357</v>
      </c>
      <c r="AQ67" s="203">
        <v>0.63034671545028687</v>
      </c>
      <c r="AR67" s="203">
        <v>2.59832763671875</v>
      </c>
      <c r="AS67" s="203">
        <v>28.527132511138916</v>
      </c>
      <c r="AT67" s="203">
        <v>0.91479997336864471</v>
      </c>
      <c r="AU67" s="203">
        <v>1.436173141002655</v>
      </c>
      <c r="AV67" s="203">
        <v>1.5674206018447876</v>
      </c>
      <c r="AW67" s="204">
        <v>1</v>
      </c>
      <c r="AX67" s="183" t="s">
        <v>144</v>
      </c>
    </row>
    <row r="68" spans="1:50" x14ac:dyDescent="0.2">
      <c r="A68" s="184" t="s">
        <v>145</v>
      </c>
      <c r="B68" s="180">
        <f t="shared" si="273"/>
        <v>55.596516666666666</v>
      </c>
      <c r="C68" s="180">
        <f t="shared" si="274"/>
        <v>0.36166666666666664</v>
      </c>
      <c r="D68" s="180">
        <f t="shared" si="275"/>
        <v>0.45666666666666672</v>
      </c>
      <c r="E68" s="180">
        <f t="shared" si="276"/>
        <v>3.796744976944574</v>
      </c>
      <c r="F68" s="180">
        <f t="shared" si="277"/>
        <v>124.27456666666669</v>
      </c>
      <c r="G68" s="180">
        <f t="shared" si="278"/>
        <v>1.0033333333333334</v>
      </c>
      <c r="H68" s="180">
        <f t="shared" si="279"/>
        <v>1.3916666666666668</v>
      </c>
      <c r="I68" s="180">
        <f t="shared" si="280"/>
        <v>1.4172585755252518</v>
      </c>
      <c r="J68" s="229">
        <f t="shared" si="242"/>
        <v>0.88351523876190186</v>
      </c>
      <c r="O68" s="225">
        <f t="shared" si="281"/>
        <v>5.9039526594926137</v>
      </c>
      <c r="P68" s="184" t="s">
        <v>145</v>
      </c>
      <c r="Q68" s="217">
        <f>Q83*$O$2</f>
        <v>55.596516666666666</v>
      </c>
      <c r="R68" s="217">
        <f t="shared" ref="R68:X68" si="297">R83</f>
        <v>0.36166666666666664</v>
      </c>
      <c r="S68" s="217">
        <f t="shared" si="297"/>
        <v>0.45666666666666672</v>
      </c>
      <c r="T68" s="217">
        <f t="shared" si="297"/>
        <v>3.796744976944574</v>
      </c>
      <c r="U68" s="217">
        <f>U83*$O$2</f>
        <v>124.27456666666669</v>
      </c>
      <c r="V68" s="217">
        <f t="shared" si="297"/>
        <v>1.0033333333333334</v>
      </c>
      <c r="W68" s="217">
        <f t="shared" si="297"/>
        <v>1.3916666666666668</v>
      </c>
      <c r="X68" s="217">
        <f t="shared" si="297"/>
        <v>1.4172585755252518</v>
      </c>
      <c r="Y68" s="180">
        <f t="shared" si="286"/>
        <v>18.739037707722829</v>
      </c>
      <c r="Z68" s="180">
        <f t="shared" si="287"/>
        <v>0.14968077687157141</v>
      </c>
      <c r="AA68" s="180">
        <f t="shared" si="287"/>
        <v>0.30501132165660194</v>
      </c>
      <c r="AB68" s="180">
        <f t="shared" si="287"/>
        <v>3.1290511921265143</v>
      </c>
      <c r="AC68" s="180">
        <f t="shared" si="288"/>
        <v>67.254079007657296</v>
      </c>
      <c r="AD68" s="180">
        <f t="shared" si="287"/>
        <v>0.53720169363336456</v>
      </c>
      <c r="AE68" s="180">
        <f t="shared" si="287"/>
        <v>1.7590592853717193</v>
      </c>
      <c r="AF68" s="180">
        <f t="shared" si="287"/>
        <v>2.1453698460243142</v>
      </c>
      <c r="AG68" s="179">
        <f>AO68*$M$9*AI$93*AJ$91</f>
        <v>12.462367442791699</v>
      </c>
      <c r="AH68" s="217">
        <f t="shared" ref="AH68:AJ68" si="298">AH82</f>
        <v>8.2473742412075376E-2</v>
      </c>
      <c r="AI68" s="217">
        <f t="shared" si="298"/>
        <v>0.26163060488529832</v>
      </c>
      <c r="AJ68" s="217">
        <f t="shared" si="298"/>
        <v>3.2294542370249841</v>
      </c>
      <c r="AK68" s="179">
        <f t="shared" si="293"/>
        <v>91.023836835811309</v>
      </c>
      <c r="AL68" s="217">
        <f t="shared" ref="AL68:AN68" si="299">AL82</f>
        <v>0.60237964471972083</v>
      </c>
      <c r="AM68" s="217">
        <f t="shared" si="299"/>
        <v>1.2969892078253975</v>
      </c>
      <c r="AN68" s="217">
        <f t="shared" si="299"/>
        <v>1.9362931630197611</v>
      </c>
      <c r="AO68" s="203">
        <v>3.2662355899810791</v>
      </c>
      <c r="AP68" s="203">
        <v>0.17517687473446131</v>
      </c>
      <c r="AQ68" s="203">
        <v>0.22575485706329346</v>
      </c>
      <c r="AR68" s="203">
        <v>3.2657638788223267</v>
      </c>
      <c r="AS68" s="203">
        <v>16.262716054916382</v>
      </c>
      <c r="AT68" s="203">
        <v>0.78686429560184479</v>
      </c>
      <c r="AU68" s="203">
        <v>1.3146654367446899</v>
      </c>
      <c r="AV68" s="203">
        <v>2.3798487186431885</v>
      </c>
      <c r="AW68" s="204">
        <v>0.88351523876190186</v>
      </c>
      <c r="AX68" s="184" t="s">
        <v>145</v>
      </c>
    </row>
    <row r="69" spans="1:50" x14ac:dyDescent="0.2">
      <c r="A69" s="183" t="s">
        <v>146</v>
      </c>
      <c r="B69" s="180">
        <f t="shared" si="273"/>
        <v>55.596516666666666</v>
      </c>
      <c r="C69" s="180">
        <f t="shared" si="274"/>
        <v>0.36166666666666664</v>
      </c>
      <c r="D69" s="180">
        <f t="shared" si="275"/>
        <v>0.45666666666666672</v>
      </c>
      <c r="E69" s="180">
        <f t="shared" si="276"/>
        <v>3.796744976944574</v>
      </c>
      <c r="F69" s="180">
        <f t="shared" si="277"/>
        <v>124.27456666666669</v>
      </c>
      <c r="G69" s="180">
        <f t="shared" si="278"/>
        <v>1.0033333333333334</v>
      </c>
      <c r="H69" s="180">
        <f t="shared" si="279"/>
        <v>1.3916666666666668</v>
      </c>
      <c r="I69" s="180">
        <f t="shared" si="280"/>
        <v>1.4172585755252518</v>
      </c>
      <c r="J69" s="229">
        <f t="shared" si="242"/>
        <v>0.8</v>
      </c>
      <c r="O69" s="225">
        <f t="shared" si="281"/>
        <v>12.397955602651891</v>
      </c>
      <c r="P69" s="183" t="s">
        <v>146</v>
      </c>
      <c r="Q69" s="217">
        <f>Q83*$O$2</f>
        <v>55.596516666666666</v>
      </c>
      <c r="R69" s="217">
        <f t="shared" ref="R69:X69" si="300">R83</f>
        <v>0.36166666666666664</v>
      </c>
      <c r="S69" s="217">
        <f t="shared" si="300"/>
        <v>0.45666666666666672</v>
      </c>
      <c r="T69" s="217">
        <f t="shared" si="300"/>
        <v>3.796744976944574</v>
      </c>
      <c r="U69" s="217">
        <f>U83*$O$2</f>
        <v>124.27456666666669</v>
      </c>
      <c r="V69" s="217">
        <f t="shared" si="300"/>
        <v>1.0033333333333334</v>
      </c>
      <c r="W69" s="217">
        <f t="shared" si="300"/>
        <v>1.3916666666666668</v>
      </c>
      <c r="X69" s="217">
        <f t="shared" si="300"/>
        <v>1.4172585755252518</v>
      </c>
      <c r="Y69" s="180">
        <f t="shared" si="286"/>
        <v>28.743413921130767</v>
      </c>
      <c r="Z69" s="180">
        <f t="shared" si="287"/>
        <v>0.2295921803862368</v>
      </c>
      <c r="AA69" s="180">
        <f t="shared" si="287"/>
        <v>0.23474201605039033</v>
      </c>
      <c r="AB69" s="180">
        <f t="shared" si="287"/>
        <v>3.2562568171871349</v>
      </c>
      <c r="AC69" s="180">
        <f t="shared" si="288"/>
        <v>79.273338593936259</v>
      </c>
      <c r="AD69" s="180">
        <f t="shared" si="287"/>
        <v>0.63320726981905551</v>
      </c>
      <c r="AE69" s="180">
        <f t="shared" si="287"/>
        <v>1.547535133290197</v>
      </c>
      <c r="AF69" s="180">
        <f t="shared" si="287"/>
        <v>2.2522862328172195</v>
      </c>
      <c r="AG69" s="179">
        <f t="shared" ref="AG69:AG74" si="301">AO69*$M$9*AI$93*AJ$91</f>
        <v>26.170243423487122</v>
      </c>
      <c r="AH69" s="217">
        <f t="shared" ref="AH69:AJ69" si="302">AH83</f>
        <v>9.1565082127880504E-2</v>
      </c>
      <c r="AI69" s="217">
        <f t="shared" si="302"/>
        <v>0.25095334644158729</v>
      </c>
      <c r="AJ69" s="217">
        <f t="shared" si="302"/>
        <v>2.5784247092959069</v>
      </c>
      <c r="AK69" s="179">
        <f t="shared" si="293"/>
        <v>137.53501542052999</v>
      </c>
      <c r="AL69" s="217">
        <f t="shared" ref="AL69:AN69" si="303">AL83</f>
        <v>0.48121084617569437</v>
      </c>
      <c r="AM69" s="217">
        <f t="shared" si="303"/>
        <v>1.0055330629694308</v>
      </c>
      <c r="AN69" s="217">
        <f t="shared" si="303"/>
        <v>1.566635838364129</v>
      </c>
      <c r="AO69" s="203">
        <v>6.8589038848876953</v>
      </c>
      <c r="AP69" s="203">
        <v>0.28950075805187225</v>
      </c>
      <c r="AQ69" s="203">
        <v>0.39141032099723816</v>
      </c>
      <c r="AR69" s="203">
        <v>2.9836037158966064</v>
      </c>
      <c r="AS69" s="203">
        <v>19.055255889892578</v>
      </c>
      <c r="AT69" s="203">
        <v>0.89678707718849182</v>
      </c>
      <c r="AU69" s="203">
        <v>1.3820240199565887</v>
      </c>
      <c r="AV69" s="203">
        <v>1.9740728139877319</v>
      </c>
      <c r="AW69" s="204">
        <v>0.8</v>
      </c>
      <c r="AX69" s="183" t="s">
        <v>146</v>
      </c>
    </row>
    <row r="70" spans="1:50" x14ac:dyDescent="0.2">
      <c r="A70" s="184" t="s">
        <v>147</v>
      </c>
      <c r="B70" s="180">
        <f t="shared" si="273"/>
        <v>0.36586774468421934</v>
      </c>
      <c r="C70" s="180">
        <f t="shared" si="274"/>
        <v>3.9551660418510437E-2</v>
      </c>
      <c r="D70" s="180">
        <f t="shared" si="275"/>
        <v>6.0386694967746735E-2</v>
      </c>
      <c r="E70" s="180">
        <f t="shared" si="276"/>
        <v>2.0898045003414154</v>
      </c>
      <c r="F70" s="180">
        <f t="shared" si="277"/>
        <v>13.299867691993713</v>
      </c>
      <c r="G70" s="180">
        <f t="shared" si="278"/>
        <v>0.32001839578151703</v>
      </c>
      <c r="H70" s="180">
        <f t="shared" si="279"/>
        <v>0.64168427512049675</v>
      </c>
      <c r="I70" s="180">
        <f t="shared" si="280"/>
        <v>1.7313501834869385</v>
      </c>
      <c r="J70" s="229">
        <f t="shared" si="242"/>
        <v>0.21</v>
      </c>
      <c r="O70" s="225">
        <f t="shared" si="281"/>
        <v>0.20862205585094656</v>
      </c>
      <c r="P70" s="184" t="s">
        <v>147</v>
      </c>
      <c r="Q70" s="217">
        <f>AO70*$O$2</f>
        <v>0.36586774468421934</v>
      </c>
      <c r="R70" s="217">
        <f t="shared" ref="R70:X70" si="304">AP70</f>
        <v>3.9551660418510437E-2</v>
      </c>
      <c r="S70" s="217">
        <f t="shared" si="304"/>
        <v>6.0386694967746735E-2</v>
      </c>
      <c r="T70" s="217">
        <f t="shared" si="304"/>
        <v>2.0898045003414154</v>
      </c>
      <c r="U70" s="217">
        <f>AS70*$O$2</f>
        <v>13.299867691993713</v>
      </c>
      <c r="V70" s="217">
        <f t="shared" si="304"/>
        <v>0.32001839578151703</v>
      </c>
      <c r="W70" s="217">
        <f t="shared" si="304"/>
        <v>0.64168427512049675</v>
      </c>
      <c r="X70" s="217">
        <f t="shared" si="304"/>
        <v>1.7313501834869385</v>
      </c>
      <c r="Y70" s="180">
        <f t="shared" si="286"/>
        <v>2.8717675820997592</v>
      </c>
      <c r="Z70" s="180">
        <f t="shared" si="287"/>
        <v>3.2134081332181291E-2</v>
      </c>
      <c r="AA70" s="180">
        <f t="shared" si="287"/>
        <v>0.20839173063010602</v>
      </c>
      <c r="AB70" s="180">
        <f t="shared" si="287"/>
        <v>2.425974212549816</v>
      </c>
      <c r="AC70" s="180">
        <f t="shared" si="288"/>
        <v>27.661180537812033</v>
      </c>
      <c r="AD70" s="180">
        <f t="shared" si="287"/>
        <v>0.30951899822487955</v>
      </c>
      <c r="AE70" s="180">
        <f t="shared" si="287"/>
        <v>1.3379376681844164</v>
      </c>
      <c r="AF70" s="180">
        <f t="shared" si="287"/>
        <v>1.7622279373046665</v>
      </c>
      <c r="AG70" s="179">
        <f t="shared" si="301"/>
        <v>0.44037018360993202</v>
      </c>
      <c r="AH70" s="217">
        <f t="shared" ref="AH70:AJ70" si="305">AH84</f>
        <v>7.1072114004235354E-2</v>
      </c>
      <c r="AI70" s="217">
        <f t="shared" si="305"/>
        <v>0.23760296120595656</v>
      </c>
      <c r="AJ70" s="217">
        <f t="shared" si="305"/>
        <v>3.0555063894035972</v>
      </c>
      <c r="AK70" s="179">
        <f t="shared" si="293"/>
        <v>3.2545383295069756</v>
      </c>
      <c r="AL70" s="217">
        <f t="shared" ref="AL70:AN70" si="306">AL84</f>
        <v>0.5252556321813987</v>
      </c>
      <c r="AM70" s="217">
        <f t="shared" si="306"/>
        <v>1.1053423877791859</v>
      </c>
      <c r="AN70" s="217">
        <f t="shared" si="306"/>
        <v>1.9927615036276256</v>
      </c>
      <c r="AO70" s="203">
        <v>0.11541569232940674</v>
      </c>
      <c r="AP70" s="203">
        <v>3.9551660418510437E-2</v>
      </c>
      <c r="AQ70" s="203">
        <v>6.0386694967746735E-2</v>
      </c>
      <c r="AR70" s="203">
        <v>2.0898045003414154</v>
      </c>
      <c r="AS70" s="203">
        <v>4.1955418586730957</v>
      </c>
      <c r="AT70" s="203">
        <v>0.32001839578151703</v>
      </c>
      <c r="AU70" s="203">
        <v>0.64168427512049675</v>
      </c>
      <c r="AV70" s="203">
        <v>1.7313501834869385</v>
      </c>
      <c r="AW70" s="204">
        <v>0.21</v>
      </c>
      <c r="AX70" s="184" t="s">
        <v>147</v>
      </c>
    </row>
    <row r="71" spans="1:50" x14ac:dyDescent="0.2">
      <c r="A71" s="183" t="s">
        <v>148</v>
      </c>
      <c r="B71" s="180">
        <f t="shared" si="273"/>
        <v>55.596516666666666</v>
      </c>
      <c r="C71" s="180">
        <f t="shared" si="274"/>
        <v>0.36166666666666664</v>
      </c>
      <c r="D71" s="180">
        <f t="shared" si="275"/>
        <v>0.45666666666666672</v>
      </c>
      <c r="E71" s="180">
        <f t="shared" si="276"/>
        <v>3.796744976944574</v>
      </c>
      <c r="F71" s="180">
        <f t="shared" si="277"/>
        <v>124.27456666666669</v>
      </c>
      <c r="G71" s="180">
        <f t="shared" si="278"/>
        <v>1.0033333333333334</v>
      </c>
      <c r="H71" s="180">
        <f t="shared" si="279"/>
        <v>1.3916666666666668</v>
      </c>
      <c r="I71" s="180">
        <f t="shared" si="280"/>
        <v>1.4172585755252518</v>
      </c>
      <c r="J71" s="229">
        <f t="shared" si="242"/>
        <v>0.62458717823028564</v>
      </c>
      <c r="O71" s="225">
        <f t="shared" si="281"/>
        <v>7.1540533857014657</v>
      </c>
      <c r="P71" s="183" t="s">
        <v>148</v>
      </c>
      <c r="Q71" s="217">
        <f>Q83*$O$2</f>
        <v>55.596516666666666</v>
      </c>
      <c r="R71" s="217">
        <f t="shared" ref="R71:X71" si="307">R83</f>
        <v>0.36166666666666664</v>
      </c>
      <c r="S71" s="217">
        <f t="shared" si="307"/>
        <v>0.45666666666666672</v>
      </c>
      <c r="T71" s="217">
        <f t="shared" si="307"/>
        <v>3.796744976944574</v>
      </c>
      <c r="U71" s="217">
        <f>U83*$O$2</f>
        <v>124.27456666666669</v>
      </c>
      <c r="V71" s="217">
        <f t="shared" si="307"/>
        <v>1.0033333333333334</v>
      </c>
      <c r="W71" s="217">
        <f t="shared" si="307"/>
        <v>1.3916666666666668</v>
      </c>
      <c r="X71" s="217">
        <f t="shared" si="307"/>
        <v>1.4172585755252518</v>
      </c>
      <c r="Y71" s="180">
        <f t="shared" si="286"/>
        <v>19.25198136218977</v>
      </c>
      <c r="Z71" s="180">
        <f t="shared" si="287"/>
        <v>0.15377798857952971</v>
      </c>
      <c r="AA71" s="180">
        <f t="shared" si="287"/>
        <v>0.16275941776379835</v>
      </c>
      <c r="AB71" s="180">
        <f t="shared" si="287"/>
        <v>3.1475160381940905</v>
      </c>
      <c r="AC71" s="180">
        <f t="shared" si="288"/>
        <v>66.829745849238904</v>
      </c>
      <c r="AD71" s="180">
        <f t="shared" si="287"/>
        <v>0.53381227109229901</v>
      </c>
      <c r="AE71" s="180">
        <f t="shared" si="287"/>
        <v>1.460271710680912</v>
      </c>
      <c r="AF71" s="180">
        <f t="shared" si="287"/>
        <v>2.2566043306883139</v>
      </c>
      <c r="AG71" s="179">
        <f t="shared" si="301"/>
        <v>15.101144460332073</v>
      </c>
      <c r="AH71" s="217">
        <f t="shared" ref="AH71:AJ71" si="308">AH85</f>
        <v>0.17870925585140582</v>
      </c>
      <c r="AI71" s="217">
        <f t="shared" si="308"/>
        <v>0.3054639815002963</v>
      </c>
      <c r="AJ71" s="217">
        <f t="shared" si="308"/>
        <v>2.8404294877984406</v>
      </c>
      <c r="AK71" s="179">
        <f t="shared" si="293"/>
        <v>52.205049360403919</v>
      </c>
      <c r="AL71" s="217">
        <f t="shared" ref="AL71:AN71" si="309">AL85</f>
        <v>0.61780254783938005</v>
      </c>
      <c r="AM71" s="217">
        <f t="shared" si="309"/>
        <v>1.1309227958010062</v>
      </c>
      <c r="AN71" s="217">
        <f t="shared" si="309"/>
        <v>1.6878325073467759</v>
      </c>
      <c r="AO71" s="203">
        <v>3.957827091217041</v>
      </c>
      <c r="AP71" s="203">
        <v>0.28609679639339447</v>
      </c>
      <c r="AQ71" s="203">
        <v>0.38921713829040527</v>
      </c>
      <c r="AR71" s="203">
        <v>2.9896530508995056</v>
      </c>
      <c r="AS71" s="203">
        <v>14.477066993713379</v>
      </c>
      <c r="AT71" s="203">
        <v>0.84258511662483215</v>
      </c>
      <c r="AU71" s="203">
        <v>1.3384199142456055</v>
      </c>
      <c r="AV71" s="203">
        <v>2.0412149429321289</v>
      </c>
      <c r="AW71" s="204">
        <v>0.62458717823028564</v>
      </c>
      <c r="AX71" s="183" t="s">
        <v>148</v>
      </c>
    </row>
    <row r="72" spans="1:50" x14ac:dyDescent="0.2">
      <c r="A72" s="184" t="s">
        <v>149</v>
      </c>
      <c r="B72" s="180">
        <f t="shared" si="273"/>
        <v>55.596516666666666</v>
      </c>
      <c r="C72" s="180">
        <f t="shared" si="274"/>
        <v>0.36166666666666664</v>
      </c>
      <c r="D72" s="180">
        <f t="shared" si="275"/>
        <v>0.45666666666666672</v>
      </c>
      <c r="E72" s="180">
        <f t="shared" si="276"/>
        <v>3.796744976944574</v>
      </c>
      <c r="F72" s="180">
        <f t="shared" si="277"/>
        <v>124.27456666666669</v>
      </c>
      <c r="G72" s="180">
        <f t="shared" si="278"/>
        <v>1.0033333333333334</v>
      </c>
      <c r="H72" s="180">
        <f t="shared" si="279"/>
        <v>1.3916666666666668</v>
      </c>
      <c r="I72" s="180">
        <f t="shared" si="280"/>
        <v>1.4172585755252518</v>
      </c>
      <c r="J72" s="229">
        <f t="shared" si="242"/>
        <v>0.61480748653411865</v>
      </c>
      <c r="O72" s="225">
        <f t="shared" si="281"/>
        <v>8.8011767886790579</v>
      </c>
      <c r="P72" s="184" t="s">
        <v>149</v>
      </c>
      <c r="Q72" s="217">
        <f>Q83*$O$2</f>
        <v>55.596516666666666</v>
      </c>
      <c r="R72" s="217">
        <f t="shared" ref="R72:X72" si="310">R83</f>
        <v>0.36166666666666664</v>
      </c>
      <c r="S72" s="217">
        <f t="shared" si="310"/>
        <v>0.45666666666666672</v>
      </c>
      <c r="T72" s="217">
        <f t="shared" si="310"/>
        <v>3.796744976944574</v>
      </c>
      <c r="U72" s="217">
        <f>U83*$O$2</f>
        <v>124.27456666666669</v>
      </c>
      <c r="V72" s="217">
        <f t="shared" si="310"/>
        <v>1.0033333333333334</v>
      </c>
      <c r="W72" s="217">
        <f t="shared" si="310"/>
        <v>1.3916666666666668</v>
      </c>
      <c r="X72" s="217">
        <f t="shared" si="310"/>
        <v>1.4172585755252518</v>
      </c>
      <c r="Y72" s="180">
        <f t="shared" si="286"/>
        <v>22.321409643526962</v>
      </c>
      <c r="Z72" s="180">
        <f t="shared" si="287"/>
        <v>0.17829549139200224</v>
      </c>
      <c r="AA72" s="180">
        <f t="shared" si="287"/>
        <v>0.2450043741912894</v>
      </c>
      <c r="AB72" s="180">
        <f t="shared" si="287"/>
        <v>2.9523992214959258</v>
      </c>
      <c r="AC72" s="180">
        <f t="shared" si="288"/>
        <v>67.328764047125375</v>
      </c>
      <c r="AD72" s="180">
        <f t="shared" si="287"/>
        <v>0.5377982511995868</v>
      </c>
      <c r="AE72" s="180">
        <f t="shared" si="287"/>
        <v>1.480984464007375</v>
      </c>
      <c r="AF72" s="180">
        <f t="shared" si="287"/>
        <v>2.0555075634707114</v>
      </c>
      <c r="AG72" s="179">
        <f t="shared" si="301"/>
        <v>18.577977398435664</v>
      </c>
      <c r="AH72" s="217">
        <f t="shared" ref="AH72:AJ72" si="311">AH86</f>
        <v>0.16778628482141558</v>
      </c>
      <c r="AI72" s="217">
        <f t="shared" si="311"/>
        <v>0.31422275688078266</v>
      </c>
      <c r="AJ72" s="217">
        <f t="shared" si="311"/>
        <v>2.5996506679968245</v>
      </c>
      <c r="AK72" s="179">
        <f t="shared" si="293"/>
        <v>61.043983565122289</v>
      </c>
      <c r="AL72" s="217">
        <f t="shared" ref="AL72:AN72" si="312">AL86</f>
        <v>0.55131637817332391</v>
      </c>
      <c r="AM72" s="217">
        <f t="shared" si="312"/>
        <v>1.0327947249848024</v>
      </c>
      <c r="AN72" s="217">
        <f t="shared" si="312"/>
        <v>1.5603471479677664</v>
      </c>
      <c r="AO72" s="203">
        <v>4.8690629005432129</v>
      </c>
      <c r="AP72" s="203">
        <v>0.34132065623998642</v>
      </c>
      <c r="AQ72" s="203">
        <v>0.44338968396186829</v>
      </c>
      <c r="AR72" s="203">
        <v>2.9205268025398254</v>
      </c>
      <c r="AS72" s="203">
        <v>15.109194755554199</v>
      </c>
      <c r="AT72" s="203">
        <v>0.87411481142044067</v>
      </c>
      <c r="AU72" s="203">
        <v>1.3590129613876343</v>
      </c>
      <c r="AV72" s="203">
        <v>1.9366060495376587</v>
      </c>
      <c r="AW72" s="204">
        <v>0.61480748653411865</v>
      </c>
      <c r="AX72" s="184" t="s">
        <v>149</v>
      </c>
    </row>
    <row r="73" spans="1:50" x14ac:dyDescent="0.2">
      <c r="A73" s="183" t="s">
        <v>150</v>
      </c>
      <c r="B73" s="180">
        <f t="shared" si="273"/>
        <v>60.737200000000001</v>
      </c>
      <c r="C73" s="180">
        <f t="shared" si="274"/>
        <v>0.46</v>
      </c>
      <c r="D73" s="180">
        <f t="shared" si="275"/>
        <v>0.64</v>
      </c>
      <c r="E73" s="180">
        <f t="shared" si="276"/>
        <v>4.3637364844384026</v>
      </c>
      <c r="F73" s="180">
        <f t="shared" si="277"/>
        <v>138.46559999999999</v>
      </c>
      <c r="G73" s="180">
        <f t="shared" si="278"/>
        <v>1.2</v>
      </c>
      <c r="H73" s="180">
        <f t="shared" si="279"/>
        <v>1.71</v>
      </c>
      <c r="I73" s="180">
        <f t="shared" si="280"/>
        <v>1.5254641960704505</v>
      </c>
      <c r="J73" s="229">
        <f t="shared" si="242"/>
        <v>1</v>
      </c>
      <c r="O73" s="225">
        <f t="shared" si="281"/>
        <v>27.665034685225145</v>
      </c>
      <c r="P73" s="183" t="s">
        <v>150</v>
      </c>
      <c r="Q73" s="217">
        <f>Q82*$O$2</f>
        <v>60.737200000000001</v>
      </c>
      <c r="R73" s="217">
        <f t="shared" ref="R73:X73" si="313">R82</f>
        <v>0.46</v>
      </c>
      <c r="S73" s="217">
        <f t="shared" si="313"/>
        <v>0.64</v>
      </c>
      <c r="T73" s="217">
        <f t="shared" si="313"/>
        <v>4.3637364844384026</v>
      </c>
      <c r="U73" s="217">
        <f>U82*$O$2</f>
        <v>138.46559999999999</v>
      </c>
      <c r="V73" s="217">
        <f t="shared" si="313"/>
        <v>1.2</v>
      </c>
      <c r="W73" s="217">
        <f t="shared" si="313"/>
        <v>1.71</v>
      </c>
      <c r="X73" s="217">
        <f t="shared" si="313"/>
        <v>1.5254641960704505</v>
      </c>
      <c r="Y73" s="180">
        <f t="shared" si="286"/>
        <v>38.270542672174841</v>
      </c>
      <c r="Z73" s="180">
        <f t="shared" si="287"/>
        <v>0.26535228004128025</v>
      </c>
      <c r="AA73" s="180">
        <f t="shared" si="287"/>
        <v>0.52101504432355794</v>
      </c>
      <c r="AB73" s="180">
        <f t="shared" si="287"/>
        <v>2.8969038171415322</v>
      </c>
      <c r="AC73" s="180">
        <f t="shared" si="288"/>
        <v>89.031534860661367</v>
      </c>
      <c r="AD73" s="180">
        <f t="shared" si="287"/>
        <v>0.61730822510724215</v>
      </c>
      <c r="AE73" s="180">
        <f t="shared" si="287"/>
        <v>1.9572266793703452</v>
      </c>
      <c r="AF73" s="180">
        <f t="shared" si="287"/>
        <v>1.7837060051754237</v>
      </c>
      <c r="AG73" s="179">
        <f t="shared" si="301"/>
        <v>58.39678050441595</v>
      </c>
      <c r="AH73" s="217">
        <f t="shared" ref="AH73:AJ73" si="314">AH87</f>
        <v>0.3856092445398851</v>
      </c>
      <c r="AI73" s="217">
        <f t="shared" si="314"/>
        <v>0.53958552496143519</v>
      </c>
      <c r="AJ73" s="217">
        <f t="shared" si="314"/>
        <v>3.1682114308553189</v>
      </c>
      <c r="AK73" s="179">
        <f t="shared" si="293"/>
        <v>139.15540009883634</v>
      </c>
      <c r="AL73" s="217">
        <f t="shared" ref="AL73:AN73" si="315">AL87</f>
        <v>0.91887957250828245</v>
      </c>
      <c r="AM73" s="217">
        <f t="shared" si="315"/>
        <v>1.5225320499743171</v>
      </c>
      <c r="AN73" s="217">
        <f t="shared" si="315"/>
        <v>1.5561725068428245</v>
      </c>
      <c r="AO73" s="180">
        <v>15.305088996887207</v>
      </c>
      <c r="AP73" s="180">
        <v>0.38889067550189793</v>
      </c>
      <c r="AQ73" s="180">
        <v>0.65831315517425537</v>
      </c>
      <c r="AR73" s="180">
        <v>2.4991737306118011</v>
      </c>
      <c r="AS73" s="180">
        <v>24.96454656124115</v>
      </c>
      <c r="AT73" s="180">
        <v>0.85230088233947754</v>
      </c>
      <c r="AU73" s="180">
        <v>1.4757032096385956</v>
      </c>
      <c r="AV73" s="180">
        <v>1.53997403383255</v>
      </c>
      <c r="AW73" s="201">
        <v>1</v>
      </c>
      <c r="AX73" s="183" t="s">
        <v>150</v>
      </c>
    </row>
    <row r="74" spans="1:50" x14ac:dyDescent="0.2">
      <c r="A74" s="184" t="s">
        <v>151</v>
      </c>
      <c r="B74" s="180">
        <f t="shared" si="273"/>
        <v>60.737200000000001</v>
      </c>
      <c r="C74" s="180">
        <f t="shared" si="274"/>
        <v>0.46</v>
      </c>
      <c r="D74" s="180">
        <f t="shared" si="275"/>
        <v>0.64</v>
      </c>
      <c r="E74" s="180">
        <f t="shared" si="276"/>
        <v>4.3637364844384026</v>
      </c>
      <c r="F74" s="180">
        <f t="shared" si="277"/>
        <v>138.46559999999999</v>
      </c>
      <c r="G74" s="180">
        <f t="shared" si="278"/>
        <v>1.2</v>
      </c>
      <c r="H74" s="180">
        <f t="shared" si="279"/>
        <v>1.71</v>
      </c>
      <c r="I74" s="180">
        <f t="shared" si="280"/>
        <v>1.5254641960704505</v>
      </c>
      <c r="J74" s="229">
        <f t="shared" si="242"/>
        <v>1</v>
      </c>
      <c r="O74" s="225">
        <f t="shared" si="281"/>
        <v>9.2273706156372661</v>
      </c>
      <c r="P74" s="184" t="s">
        <v>151</v>
      </c>
      <c r="Q74" s="218">
        <f>Q82*$O$2</f>
        <v>60.737200000000001</v>
      </c>
      <c r="R74" s="218">
        <f t="shared" ref="R74:X74" si="316">R82</f>
        <v>0.46</v>
      </c>
      <c r="S74" s="218">
        <f t="shared" si="316"/>
        <v>0.64</v>
      </c>
      <c r="T74" s="218">
        <f t="shared" si="316"/>
        <v>4.3637364844384026</v>
      </c>
      <c r="U74" s="218">
        <f>U82*$O$2</f>
        <v>138.46559999999999</v>
      </c>
      <c r="V74" s="218">
        <f t="shared" si="316"/>
        <v>1.2</v>
      </c>
      <c r="W74" s="218">
        <f t="shared" si="316"/>
        <v>1.71</v>
      </c>
      <c r="X74" s="218">
        <f t="shared" si="316"/>
        <v>1.5254641960704505</v>
      </c>
      <c r="Y74" s="180">
        <f t="shared" si="286"/>
        <v>35.700910805626911</v>
      </c>
      <c r="Z74" s="180">
        <f t="shared" si="287"/>
        <v>0.24753550434264404</v>
      </c>
      <c r="AA74" s="180">
        <f t="shared" si="287"/>
        <v>0.51056165249467211</v>
      </c>
      <c r="AB74" s="180">
        <f t="shared" si="287"/>
        <v>2.830105513673725</v>
      </c>
      <c r="AC74" s="180">
        <f t="shared" si="288"/>
        <v>85.554723403136109</v>
      </c>
      <c r="AD74" s="180">
        <f t="shared" si="287"/>
        <v>0.59320143740290288</v>
      </c>
      <c r="AE74" s="180">
        <f t="shared" si="287"/>
        <v>1.8774653379730082</v>
      </c>
      <c r="AF74" s="180">
        <f t="shared" si="287"/>
        <v>1.7711844555931877</v>
      </c>
      <c r="AG74" s="179">
        <f t="shared" si="301"/>
        <v>19.477609285704084</v>
      </c>
      <c r="AH74" s="217">
        <f t="shared" ref="AH74:AJ74" si="317">AH88</f>
        <v>0.3856092445398851</v>
      </c>
      <c r="AI74" s="217">
        <f t="shared" si="317"/>
        <v>0.53958552496143519</v>
      </c>
      <c r="AJ74" s="217">
        <f t="shared" si="317"/>
        <v>3.1682114308553189</v>
      </c>
      <c r="AK74" s="179">
        <f t="shared" si="293"/>
        <v>46.413766130754432</v>
      </c>
      <c r="AL74" s="217">
        <f t="shared" ref="AL74:AN74" si="318">AL88</f>
        <v>0.91887957250828245</v>
      </c>
      <c r="AM74" s="217">
        <f t="shared" si="318"/>
        <v>1.5225320499743171</v>
      </c>
      <c r="AN74" s="217">
        <f t="shared" si="318"/>
        <v>1.5561725068428245</v>
      </c>
      <c r="AO74" s="203">
        <v>5.1048455238342285</v>
      </c>
      <c r="AP74" s="203">
        <v>0.37972273677587509</v>
      </c>
      <c r="AQ74" s="203">
        <v>0.65263313055038452</v>
      </c>
      <c r="AR74" s="203">
        <v>2.5202571153640747</v>
      </c>
      <c r="AS74" s="203">
        <v>14.896905899047852</v>
      </c>
      <c r="AT74" s="203">
        <v>0.8638109564781189</v>
      </c>
      <c r="AU74" s="203">
        <v>1.4727639257907867</v>
      </c>
      <c r="AV74" s="203">
        <v>1.5475344657897949</v>
      </c>
      <c r="AW74" s="204">
        <v>1</v>
      </c>
      <c r="AX74" s="184" t="s">
        <v>151</v>
      </c>
    </row>
    <row r="75" spans="1:50" x14ac:dyDescent="0.2">
      <c r="AJ75" s="257"/>
      <c r="AK75" s="256"/>
    </row>
    <row r="76" spans="1:50" x14ac:dyDescent="0.2">
      <c r="AF76" s="222"/>
      <c r="AG76" s="222" t="s">
        <v>153</v>
      </c>
      <c r="AH76" s="222" t="s">
        <v>176</v>
      </c>
      <c r="AI76" s="222" t="s">
        <v>177</v>
      </c>
      <c r="AJ76" s="222" t="s">
        <v>84</v>
      </c>
      <c r="AK76" s="222"/>
      <c r="AL76" s="222" t="s">
        <v>178</v>
      </c>
      <c r="AM76" s="222" t="s">
        <v>179</v>
      </c>
      <c r="AN76" s="234" t="s">
        <v>184</v>
      </c>
    </row>
    <row r="77" spans="1:50" ht="41" thickBot="1" x14ac:dyDescent="0.25">
      <c r="P77" s="205" t="s">
        <v>79</v>
      </c>
      <c r="Q77" s="206" t="s">
        <v>162</v>
      </c>
      <c r="R77" s="206" t="s">
        <v>163</v>
      </c>
      <c r="S77" s="206" t="s">
        <v>164</v>
      </c>
      <c r="T77" s="207" t="s">
        <v>165</v>
      </c>
      <c r="U77" s="208" t="s">
        <v>166</v>
      </c>
      <c r="V77" s="208" t="s">
        <v>167</v>
      </c>
      <c r="W77" s="208" t="s">
        <v>168</v>
      </c>
      <c r="X77" s="209" t="s">
        <v>169</v>
      </c>
      <c r="AE77" s="183"/>
      <c r="AF77" s="222" t="s">
        <v>30</v>
      </c>
      <c r="AG77" s="222"/>
      <c r="AH77" s="222">
        <v>0.24536302995939005</v>
      </c>
      <c r="AI77" s="222">
        <v>0.44780215087181852</v>
      </c>
      <c r="AJ77" s="222">
        <v>1.3997378213016731</v>
      </c>
      <c r="AK77" s="222"/>
      <c r="AL77" s="222">
        <v>0.919574366810882</v>
      </c>
      <c r="AM77" s="222">
        <v>1.3881098383223605</v>
      </c>
      <c r="AN77" s="222">
        <v>2.6034385029421125</v>
      </c>
    </row>
    <row r="78" spans="1:50" x14ac:dyDescent="0.2">
      <c r="P78" s="210" t="s">
        <v>170</v>
      </c>
      <c r="Q78" s="211">
        <v>19.43</v>
      </c>
      <c r="R78" s="211">
        <v>0.45</v>
      </c>
      <c r="S78" s="211">
        <v>0.57999999999999996</v>
      </c>
      <c r="T78" s="211">
        <v>4.5023575617897995</v>
      </c>
      <c r="U78" s="212">
        <v>45.96</v>
      </c>
      <c r="V78" s="212">
        <v>1.21</v>
      </c>
      <c r="W78" s="212">
        <v>1.7</v>
      </c>
      <c r="X78" s="211">
        <v>1.6240626631385127</v>
      </c>
      <c r="AE78" s="184"/>
      <c r="AF78" s="222" t="s">
        <v>85</v>
      </c>
      <c r="AG78" s="222"/>
      <c r="AH78" s="222">
        <v>0.24010127413018476</v>
      </c>
      <c r="AI78" s="222">
        <v>0.43074785951556527</v>
      </c>
      <c r="AJ78" s="222">
        <v>3.3256875508136372</v>
      </c>
      <c r="AK78" s="222"/>
      <c r="AL78" s="222">
        <v>0.81229002859913213</v>
      </c>
      <c r="AM78" s="222">
        <v>1.5057468704455914</v>
      </c>
      <c r="AN78" s="222">
        <v>1.7848245978347974</v>
      </c>
    </row>
    <row r="79" spans="1:50" x14ac:dyDescent="0.2">
      <c r="P79" s="210" t="s">
        <v>86</v>
      </c>
      <c r="Q79" s="211">
        <v>24.22</v>
      </c>
      <c r="R79" s="211">
        <v>0.41</v>
      </c>
      <c r="S79" s="211">
        <v>0.5</v>
      </c>
      <c r="T79" s="211">
        <v>4.6303107675040573</v>
      </c>
      <c r="U79" s="212">
        <v>52.22</v>
      </c>
      <c r="V79" s="212">
        <v>1.2</v>
      </c>
      <c r="W79" s="212">
        <v>1.64</v>
      </c>
      <c r="X79" s="211">
        <v>1.7908186950581784</v>
      </c>
      <c r="AE79" s="183"/>
      <c r="AF79" s="222" t="s">
        <v>86</v>
      </c>
      <c r="AG79" s="222"/>
      <c r="AH79" s="222">
        <v>0.24010127413018476</v>
      </c>
      <c r="AI79" s="222">
        <v>0.43074785951556527</v>
      </c>
      <c r="AJ79" s="222">
        <v>3.3256875508136372</v>
      </c>
      <c r="AK79" s="222"/>
      <c r="AL79" s="222">
        <v>0.81229002859913213</v>
      </c>
      <c r="AM79" s="222">
        <v>1.5057468704455914</v>
      </c>
      <c r="AN79" s="222">
        <v>1.7848245978347974</v>
      </c>
    </row>
    <row r="80" spans="1:50" x14ac:dyDescent="0.2">
      <c r="P80" s="210" t="s">
        <v>171</v>
      </c>
      <c r="Q80" s="211">
        <v>29.75</v>
      </c>
      <c r="R80" s="211">
        <v>0.5</v>
      </c>
      <c r="S80" s="211">
        <v>0.56999999999999995</v>
      </c>
      <c r="T80" s="211">
        <v>4.7067133559843102</v>
      </c>
      <c r="U80" s="212">
        <v>56.42</v>
      </c>
      <c r="V80" s="212">
        <v>1.31</v>
      </c>
      <c r="W80" s="212">
        <v>1.78</v>
      </c>
      <c r="X80" s="211">
        <v>1.5925464033794896</v>
      </c>
      <c r="AE80" s="184"/>
      <c r="AF80" s="222" t="s">
        <v>87</v>
      </c>
      <c r="AG80" s="222"/>
      <c r="AH80" s="222">
        <v>0.24711694856912514</v>
      </c>
      <c r="AI80" s="222">
        <v>0.45348691465723623</v>
      </c>
      <c r="AJ80" s="222">
        <v>2.9251327009292236</v>
      </c>
      <c r="AK80" s="222"/>
      <c r="AL80" s="222">
        <v>0.71457915146042073</v>
      </c>
      <c r="AM80" s="222">
        <v>1.3266606014988023</v>
      </c>
      <c r="AN80" s="222">
        <v>1.575936650806991</v>
      </c>
    </row>
    <row r="81" spans="16:40" x14ac:dyDescent="0.2">
      <c r="P81" s="210" t="s">
        <v>172</v>
      </c>
      <c r="Q81" s="211">
        <v>12.67</v>
      </c>
      <c r="R81" s="211">
        <v>0.35</v>
      </c>
      <c r="S81" s="211">
        <v>0.45</v>
      </c>
      <c r="T81" s="211">
        <v>4.5773516919508754</v>
      </c>
      <c r="U81" s="211">
        <v>36.94</v>
      </c>
      <c r="V81" s="211">
        <v>1.1000000000000001</v>
      </c>
      <c r="W81" s="212">
        <v>1.52</v>
      </c>
      <c r="X81" s="211">
        <v>1.9706594955048802</v>
      </c>
      <c r="AE81" s="183"/>
      <c r="AF81" s="222" t="s">
        <v>88</v>
      </c>
      <c r="AG81" s="222"/>
      <c r="AH81" s="222">
        <v>0.25413262300806549</v>
      </c>
      <c r="AI81" s="222">
        <v>0.47622596979890724</v>
      </c>
      <c r="AJ81" s="222">
        <v>2.5245778510448105</v>
      </c>
      <c r="AK81" s="222"/>
      <c r="AL81" s="222">
        <v>0.61686827432170932</v>
      </c>
      <c r="AM81" s="222">
        <v>1.1475743325520134</v>
      </c>
      <c r="AN81" s="222">
        <v>1.3670487037791845</v>
      </c>
    </row>
    <row r="82" spans="16:40" x14ac:dyDescent="0.2">
      <c r="P82" s="210" t="s">
        <v>173</v>
      </c>
      <c r="Q82" s="211">
        <v>19.16</v>
      </c>
      <c r="R82" s="211">
        <v>0.46</v>
      </c>
      <c r="S82" s="211">
        <v>0.64</v>
      </c>
      <c r="T82" s="211">
        <v>4.3637364844384026</v>
      </c>
      <c r="U82" s="211">
        <v>43.68</v>
      </c>
      <c r="V82" s="211">
        <v>1.2</v>
      </c>
      <c r="W82" s="212">
        <v>1.71</v>
      </c>
      <c r="X82" s="211">
        <v>1.5254641960704505</v>
      </c>
      <c r="AE82" s="184"/>
      <c r="AF82" s="222" t="s">
        <v>89</v>
      </c>
      <c r="AG82" s="222"/>
      <c r="AH82" s="222">
        <v>8.2473742412075376E-2</v>
      </c>
      <c r="AI82" s="222">
        <v>0.26163060488529832</v>
      </c>
      <c r="AJ82" s="222">
        <v>3.2294542370249841</v>
      </c>
      <c r="AK82" s="222"/>
      <c r="AL82" s="222">
        <v>0.60237964471972083</v>
      </c>
      <c r="AM82" s="222">
        <v>1.2969892078253975</v>
      </c>
      <c r="AN82" s="222">
        <v>1.9362931630197611</v>
      </c>
    </row>
    <row r="83" spans="16:40" ht="17" thickBot="1" x14ac:dyDescent="0.25">
      <c r="P83" s="213" t="s">
        <v>174</v>
      </c>
      <c r="Q83" s="214">
        <f t="shared" ref="Q83:X83" si="319">SUM(Q78:Q82)/6</f>
        <v>17.538333333333334</v>
      </c>
      <c r="R83" s="214">
        <f t="shared" si="319"/>
        <v>0.36166666666666664</v>
      </c>
      <c r="S83" s="214">
        <f t="shared" si="319"/>
        <v>0.45666666666666672</v>
      </c>
      <c r="T83" s="214">
        <f t="shared" si="319"/>
        <v>3.796744976944574</v>
      </c>
      <c r="U83" s="214">
        <f t="shared" si="319"/>
        <v>39.20333333333334</v>
      </c>
      <c r="V83" s="214">
        <f t="shared" si="319"/>
        <v>1.0033333333333334</v>
      </c>
      <c r="W83" s="214">
        <f t="shared" si="319"/>
        <v>1.3916666666666668</v>
      </c>
      <c r="X83" s="215">
        <f t="shared" si="319"/>
        <v>1.4172585755252518</v>
      </c>
      <c r="AE83" s="183"/>
      <c r="AF83" s="222" t="s">
        <v>90</v>
      </c>
      <c r="AG83" s="222"/>
      <c r="AH83" s="222">
        <v>9.1565082127880504E-2</v>
      </c>
      <c r="AI83" s="222">
        <v>0.25095334644158729</v>
      </c>
      <c r="AJ83" s="222">
        <v>2.5784247092959069</v>
      </c>
      <c r="AK83" s="222"/>
      <c r="AL83" s="222">
        <v>0.48121084617569437</v>
      </c>
      <c r="AM83" s="222">
        <v>1.0055330629694308</v>
      </c>
      <c r="AN83" s="222">
        <v>1.566635838364129</v>
      </c>
    </row>
    <row r="84" spans="16:40" x14ac:dyDescent="0.2">
      <c r="AE84" s="184"/>
      <c r="AF84" s="222" t="s">
        <v>91</v>
      </c>
      <c r="AG84" s="222"/>
      <c r="AH84" s="222">
        <v>7.1072114004235354E-2</v>
      </c>
      <c r="AI84" s="222">
        <v>0.23760296120595656</v>
      </c>
      <c r="AJ84" s="222">
        <v>3.0555063894035972</v>
      </c>
      <c r="AK84" s="222"/>
      <c r="AL84" s="222">
        <v>0.5252556321813987</v>
      </c>
      <c r="AM84" s="222">
        <v>1.1053423877791859</v>
      </c>
      <c r="AN84" s="222">
        <v>1.9927615036276256</v>
      </c>
    </row>
    <row r="85" spans="16:40" x14ac:dyDescent="0.2">
      <c r="AE85" s="183"/>
      <c r="AF85" s="222" t="s">
        <v>92</v>
      </c>
      <c r="AG85" s="222"/>
      <c r="AH85" s="222">
        <v>0.17870925585140582</v>
      </c>
      <c r="AI85" s="222">
        <v>0.3054639815002963</v>
      </c>
      <c r="AJ85" s="222">
        <v>2.8404294877984406</v>
      </c>
      <c r="AK85" s="222"/>
      <c r="AL85" s="222">
        <v>0.61780254783938005</v>
      </c>
      <c r="AM85" s="222">
        <v>1.1309227958010062</v>
      </c>
      <c r="AN85" s="222">
        <v>1.6878325073467759</v>
      </c>
    </row>
    <row r="86" spans="16:40" x14ac:dyDescent="0.2">
      <c r="AE86" s="184"/>
      <c r="AF86" s="222" t="s">
        <v>93</v>
      </c>
      <c r="AG86" s="222"/>
      <c r="AH86" s="222">
        <v>0.16778628482141558</v>
      </c>
      <c r="AI86" s="222">
        <v>0.31422275688078266</v>
      </c>
      <c r="AJ86" s="222">
        <v>2.5996506679968245</v>
      </c>
      <c r="AK86" s="222"/>
      <c r="AL86" s="222">
        <v>0.55131637817332391</v>
      </c>
      <c r="AM86" s="222">
        <v>1.0327947249848024</v>
      </c>
      <c r="AN86" s="222">
        <v>1.5603471479677664</v>
      </c>
    </row>
    <row r="87" spans="16:40" x14ac:dyDescent="0.2">
      <c r="AE87" s="183"/>
      <c r="AF87" s="222" t="s">
        <v>43</v>
      </c>
      <c r="AG87" s="222"/>
      <c r="AH87" s="222">
        <v>0.3856092445398851</v>
      </c>
      <c r="AI87" s="222">
        <v>0.53958552496143519</v>
      </c>
      <c r="AJ87" s="222">
        <v>3.1682114308553189</v>
      </c>
      <c r="AK87" s="222"/>
      <c r="AL87" s="222">
        <v>0.91887957250828245</v>
      </c>
      <c r="AM87" s="222">
        <v>1.5225320499743171</v>
      </c>
      <c r="AN87" s="222">
        <v>1.5561725068428245</v>
      </c>
    </row>
    <row r="88" spans="16:40" x14ac:dyDescent="0.2">
      <c r="AE88" s="184"/>
      <c r="AF88" s="222" t="s">
        <v>94</v>
      </c>
      <c r="AG88" s="222"/>
      <c r="AH88" s="222">
        <v>0.3856092445398851</v>
      </c>
      <c r="AI88" s="222">
        <v>0.53958552496143519</v>
      </c>
      <c r="AJ88" s="222">
        <v>3.1682114308553189</v>
      </c>
      <c r="AK88" s="222"/>
      <c r="AL88" s="222">
        <v>0.91887957250828245</v>
      </c>
      <c r="AM88" s="222">
        <v>1.5225320499743171</v>
      </c>
      <c r="AN88" s="222">
        <v>1.5561725068428245</v>
      </c>
    </row>
    <row r="89" spans="16:40" x14ac:dyDescent="0.2">
      <c r="X89" s="227"/>
      <c r="Y89" s="227" t="s">
        <v>153</v>
      </c>
      <c r="Z89" s="227" t="s">
        <v>176</v>
      </c>
      <c r="AA89" s="227" t="s">
        <v>177</v>
      </c>
      <c r="AB89" s="227" t="s">
        <v>84</v>
      </c>
      <c r="AC89" s="227" t="s">
        <v>182</v>
      </c>
      <c r="AD89" s="227" t="s">
        <v>178</v>
      </c>
      <c r="AE89" s="227" t="s">
        <v>179</v>
      </c>
      <c r="AF89" s="227" t="s">
        <v>83</v>
      </c>
    </row>
    <row r="90" spans="16:40" x14ac:dyDescent="0.2">
      <c r="X90" s="227" t="s">
        <v>30</v>
      </c>
      <c r="Y90" s="228">
        <v>1.7381860736446508</v>
      </c>
      <c r="Z90" s="228">
        <v>0.15607172755255319</v>
      </c>
      <c r="AA90" s="228">
        <v>0.39564854794565729</v>
      </c>
      <c r="AB90" s="228">
        <v>2.8823505195275336</v>
      </c>
      <c r="AC90" s="228">
        <v>5.6501990639489046</v>
      </c>
      <c r="AD90" s="228">
        <v>0.50733137395197214</v>
      </c>
      <c r="AE90" s="228">
        <v>1.7664845189942575</v>
      </c>
      <c r="AF90" s="228">
        <v>1.923520627692386</v>
      </c>
      <c r="AG90" s="226" t="s">
        <v>193</v>
      </c>
      <c r="AH90" s="226" t="s">
        <v>192</v>
      </c>
      <c r="AI90" s="226"/>
    </row>
    <row r="91" spans="16:40" x14ac:dyDescent="0.2">
      <c r="X91" s="227" t="s">
        <v>85</v>
      </c>
      <c r="Y91" s="228">
        <v>1.8429015072649029</v>
      </c>
      <c r="Z91" s="228">
        <v>0.16547412633731562</v>
      </c>
      <c r="AA91" s="228">
        <v>0.38891638383970589</v>
      </c>
      <c r="AB91" s="228">
        <v>2.92966318031631</v>
      </c>
      <c r="AC91" s="228">
        <v>5.8017217916745381</v>
      </c>
      <c r="AD91" s="228">
        <v>0.52093659967445682</v>
      </c>
      <c r="AE91" s="228">
        <v>1.7948212191570398</v>
      </c>
      <c r="AF91" s="228">
        <v>1.9488217747629861</v>
      </c>
      <c r="AG91" s="260">
        <v>1097</v>
      </c>
      <c r="AH91" s="261">
        <v>3.27</v>
      </c>
      <c r="AI91" s="260">
        <f>AG91/AH91</f>
        <v>335.47400611620793</v>
      </c>
      <c r="AJ91" s="192">
        <v>0.6334175096319189</v>
      </c>
    </row>
    <row r="92" spans="16:40" x14ac:dyDescent="0.2">
      <c r="X92" s="227" t="s">
        <v>86</v>
      </c>
      <c r="Y92" s="228">
        <v>1.8429015072649029</v>
      </c>
      <c r="Z92" s="228">
        <v>0.16547412633731562</v>
      </c>
      <c r="AA92" s="228">
        <v>0.38891638383970589</v>
      </c>
      <c r="AB92" s="228">
        <v>2.92966318031631</v>
      </c>
      <c r="AC92" s="228">
        <v>5.8017217916745381</v>
      </c>
      <c r="AD92" s="228">
        <v>0.52093659967445682</v>
      </c>
      <c r="AE92" s="228">
        <v>1.7948212191570398</v>
      </c>
      <c r="AF92" s="228">
        <v>1.9488217747629861</v>
      </c>
      <c r="AG92" s="260"/>
      <c r="AH92" s="260">
        <f>AH91*O4</f>
        <v>31.637250000000002</v>
      </c>
      <c r="AI92" s="260"/>
    </row>
    <row r="93" spans="16:40" x14ac:dyDescent="0.2">
      <c r="X93" s="227" t="s">
        <v>87</v>
      </c>
      <c r="Y93" s="228">
        <v>1.6022435361767144</v>
      </c>
      <c r="Z93" s="228">
        <v>0.1438654471133072</v>
      </c>
      <c r="AA93" s="228">
        <v>0.27380869027760985</v>
      </c>
      <c r="AB93" s="228">
        <v>3.0090366086268747</v>
      </c>
      <c r="AC93" s="228">
        <v>5.9256308339350809</v>
      </c>
      <c r="AD93" s="228">
        <v>0.53206239257903098</v>
      </c>
      <c r="AE93" s="228">
        <v>1.6076950097148757</v>
      </c>
      <c r="AF93" s="228">
        <v>2.0889915618331036</v>
      </c>
      <c r="AG93" s="260">
        <v>76.706309219554456</v>
      </c>
      <c r="AH93" s="260">
        <v>34.674315877644233</v>
      </c>
      <c r="AI93" s="260">
        <v>0.45203994600231445</v>
      </c>
    </row>
    <row r="94" spans="16:40" x14ac:dyDescent="0.2">
      <c r="X94" s="227" t="s">
        <v>88</v>
      </c>
      <c r="Y94" s="228">
        <v>1.6646977438720831</v>
      </c>
      <c r="Z94" s="228">
        <v>0.14947321042227435</v>
      </c>
      <c r="AA94" s="228">
        <v>0.53095273382560759</v>
      </c>
      <c r="AB94" s="228">
        <v>2.6610391088506389</v>
      </c>
      <c r="AC94" s="228">
        <v>5.0717218385114586</v>
      </c>
      <c r="AD94" s="228">
        <v>0.45538990387994388</v>
      </c>
      <c r="AE94" s="228">
        <v>1.8686006279480745</v>
      </c>
      <c r="AF94" s="228">
        <v>1.7074473994104677</v>
      </c>
    </row>
    <row r="95" spans="16:40" x14ac:dyDescent="0.2">
      <c r="X95" s="227" t="s">
        <v>89</v>
      </c>
      <c r="Y95" s="228">
        <v>1.4470299388202958</v>
      </c>
      <c r="Z95" s="228">
        <v>0.14968077687157141</v>
      </c>
      <c r="AA95" s="228">
        <v>0.30501132165660194</v>
      </c>
      <c r="AB95" s="228">
        <v>3.1290511921265143</v>
      </c>
      <c r="AC95" s="228">
        <v>5.1933651743364706</v>
      </c>
      <c r="AD95" s="228">
        <v>0.53720169363336456</v>
      </c>
      <c r="AE95" s="228">
        <v>1.7590592853717193</v>
      </c>
      <c r="AF95" s="228">
        <v>2.1453698460243142</v>
      </c>
      <c r="AG95" s="226"/>
      <c r="AH95" s="226"/>
      <c r="AI95" s="226"/>
    </row>
    <row r="96" spans="16:40" x14ac:dyDescent="0.2">
      <c r="X96" s="227" t="s">
        <v>90</v>
      </c>
      <c r="Y96" s="228">
        <v>2.2195686425583605</v>
      </c>
      <c r="Z96" s="228">
        <v>0.2295921803862368</v>
      </c>
      <c r="AA96" s="228">
        <v>0.23474201605039033</v>
      </c>
      <c r="AB96" s="228">
        <v>3.2562568171871349</v>
      </c>
      <c r="AC96" s="228">
        <v>6.1214933277170864</v>
      </c>
      <c r="AD96" s="228">
        <v>0.63320726981905551</v>
      </c>
      <c r="AE96" s="228">
        <v>1.547535133290197</v>
      </c>
      <c r="AF96" s="228">
        <v>2.2522862328172195</v>
      </c>
    </row>
    <row r="97" spans="24:32" x14ac:dyDescent="0.2">
      <c r="X97" s="227" t="s">
        <v>91</v>
      </c>
      <c r="Y97" s="228">
        <v>0.22175811444785787</v>
      </c>
      <c r="Z97" s="228">
        <v>3.2134081332181291E-2</v>
      </c>
      <c r="AA97" s="228">
        <v>0.20839173063010602</v>
      </c>
      <c r="AB97" s="228">
        <v>2.425974212549816</v>
      </c>
      <c r="AC97" s="228">
        <v>2.1359984971283423</v>
      </c>
      <c r="AD97" s="228">
        <v>0.30951899822487955</v>
      </c>
      <c r="AE97" s="228">
        <v>1.3379376681844164</v>
      </c>
      <c r="AF97" s="228">
        <v>1.7622279373046665</v>
      </c>
    </row>
    <row r="98" spans="24:32" x14ac:dyDescent="0.2">
      <c r="X98" s="227" t="s">
        <v>92</v>
      </c>
      <c r="Y98" s="228">
        <v>1.4866394874277815</v>
      </c>
      <c r="Z98" s="228">
        <v>0.15377798857952971</v>
      </c>
      <c r="AA98" s="228">
        <v>0.16275941776379835</v>
      </c>
      <c r="AB98" s="228">
        <v>3.1475160381940905</v>
      </c>
      <c r="AC98" s="228">
        <v>5.1605981350763637</v>
      </c>
      <c r="AD98" s="228">
        <v>0.53381227109229901</v>
      </c>
      <c r="AE98" s="228">
        <v>1.460271710680912</v>
      </c>
      <c r="AF98" s="228">
        <v>2.2566043306883139</v>
      </c>
    </row>
    <row r="99" spans="24:32" x14ac:dyDescent="0.2">
      <c r="X99" s="227" t="s">
        <v>93</v>
      </c>
      <c r="Y99" s="228">
        <v>1.7236609763341284</v>
      </c>
      <c r="Z99" s="228">
        <v>0.17829549139200224</v>
      </c>
      <c r="AA99" s="228">
        <v>0.2450043741912894</v>
      </c>
      <c r="AB99" s="228">
        <v>2.9523992214959258</v>
      </c>
      <c r="AC99" s="228">
        <v>5.1991323588513803</v>
      </c>
      <c r="AD99" s="228">
        <v>0.5377982511995868</v>
      </c>
      <c r="AE99" s="228">
        <v>1.480984464007375</v>
      </c>
      <c r="AF99" s="228">
        <v>2.0555075634707114</v>
      </c>
    </row>
    <row r="100" spans="24:32" x14ac:dyDescent="0.2">
      <c r="X100" s="227" t="s">
        <v>43</v>
      </c>
      <c r="Y100" s="228">
        <v>2.9552542603996019</v>
      </c>
      <c r="Z100" s="228">
        <v>0.26535228004128025</v>
      </c>
      <c r="AA100" s="228">
        <v>0.52101504432355794</v>
      </c>
      <c r="AB100" s="228">
        <v>2.8969038171415322</v>
      </c>
      <c r="AC100" s="228">
        <v>6.8750219969622686</v>
      </c>
      <c r="AD100" s="228">
        <v>0.61730822510724215</v>
      </c>
      <c r="AE100" s="228">
        <v>1.9572266793703452</v>
      </c>
      <c r="AF100" s="228">
        <v>1.7837060051754237</v>
      </c>
    </row>
    <row r="101" spans="24:32" x14ac:dyDescent="0.2">
      <c r="X101" s="227" t="s">
        <v>94</v>
      </c>
      <c r="Y101" s="228">
        <v>2.7568270892375994</v>
      </c>
      <c r="Z101" s="228">
        <v>0.24753550434264404</v>
      </c>
      <c r="AA101" s="228">
        <v>0.51056165249467211</v>
      </c>
      <c r="AB101" s="228">
        <v>2.830105513673725</v>
      </c>
      <c r="AC101" s="228">
        <v>6.6065423477325185</v>
      </c>
      <c r="AD101" s="228">
        <v>0.59320143740290288</v>
      </c>
      <c r="AE101" s="228">
        <v>1.8774653379730082</v>
      </c>
      <c r="AF101" s="228">
        <v>1.7711844555931877</v>
      </c>
    </row>
  </sheetData>
  <sheetProtection sheet="1" objects="1" scenarios="1"/>
  <pageMargins left="0.7" right="0.7" top="0.75" bottom="0.75" header="0.3" footer="0.3"/>
  <pageSetup orientation="portrait" r:id="rId1"/>
  <legacyDrawing r:id="rId2"/>
  <tableParts count="5">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Welcome</vt:lpstr>
      <vt:lpstr>MAIN</vt:lpstr>
      <vt:lpstr>GRAPHS</vt:lpstr>
      <vt:lpstr>SUMMARY</vt:lpstr>
      <vt:lpstr>MULTIPLIERS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Chang, Wen-Huei CIV USARMY CEIWR (US)</dc:creator>
  <cp:lastModifiedBy>Souza,Thiago d</cp:lastModifiedBy>
  <dcterms:created xsi:type="dcterms:W3CDTF">2017-03-07T10:05:09Z</dcterms:created>
  <dcterms:modified xsi:type="dcterms:W3CDTF">2017-08-25T13:51:19Z</dcterms:modified>
</cp:coreProperties>
</file>